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nty\Google ドライブ\NEXUS共有\NEXUS文書関連\60_申請書\10_IARU関連\回線設計\"/>
    </mc:Choice>
  </mc:AlternateContent>
  <bookViews>
    <workbookView xWindow="285" yWindow="45" windowWidth="18075" windowHeight="11640"/>
  </bookViews>
  <sheets>
    <sheet name="ミッション用無線機" sheetId="1" r:id="rId1"/>
    <sheet name="400km" sheetId="6" r:id="rId2"/>
    <sheet name="アマチュア無線サービス用無線機" sheetId="2" r:id="rId3"/>
    <sheet name="Communication Dessign" sheetId="5" r:id="rId4"/>
    <sheet name="SEEDS" sheetId="4" r:id="rId5"/>
    <sheet name="Sheet3" sheetId="3" r:id="rId6"/>
  </sheets>
  <definedNames>
    <definedName name="_xlnm.Print_Area" localSheetId="2">アマチュア無線サービス用無線機!$A$1:$H$66</definedName>
    <definedName name="_xlnm.Print_Area" localSheetId="0">ミッション用無線機!$A$1:$P$67</definedName>
  </definedNames>
  <calcPr calcId="162913"/>
</workbook>
</file>

<file path=xl/calcChain.xml><?xml version="1.0" encoding="utf-8"?>
<calcChain xmlns="http://schemas.openxmlformats.org/spreadsheetml/2006/main">
  <c r="D61" i="1" l="1"/>
  <c r="X74" i="1" l="1"/>
  <c r="T74" i="1"/>
  <c r="P74" i="1"/>
  <c r="L74" i="1"/>
  <c r="H74" i="1"/>
  <c r="D74" i="1"/>
  <c r="X73" i="1"/>
  <c r="T73" i="1"/>
  <c r="P73" i="1"/>
  <c r="L73" i="1"/>
  <c r="H73" i="1"/>
  <c r="D73" i="1"/>
  <c r="X71" i="1"/>
  <c r="T71" i="1"/>
  <c r="P71" i="1"/>
  <c r="L71" i="1"/>
  <c r="H71" i="1"/>
  <c r="D71" i="1"/>
  <c r="D77" i="1" l="1"/>
  <c r="L77" i="1"/>
  <c r="H77" i="1"/>
  <c r="P77" i="1"/>
  <c r="T77" i="1"/>
  <c r="X77" i="1"/>
  <c r="T61" i="1" l="1"/>
  <c r="X61" i="1"/>
  <c r="X18" i="1"/>
  <c r="X21" i="1" s="1"/>
  <c r="X62" i="1" l="1"/>
  <c r="X59" i="1"/>
  <c r="X53" i="1"/>
  <c r="X47" i="1"/>
  <c r="X48" i="1" s="1"/>
  <c r="X43" i="1"/>
  <c r="X44" i="1" s="1"/>
  <c r="X40" i="1"/>
  <c r="X37" i="1"/>
  <c r="T18" i="1"/>
  <c r="T21" i="1" s="1"/>
  <c r="X45" i="1" l="1"/>
  <c r="X54" i="1" s="1"/>
  <c r="X65" i="1"/>
  <c r="P61" i="6"/>
  <c r="L61" i="6"/>
  <c r="H61" i="6"/>
  <c r="D61" i="6"/>
  <c r="P60" i="6"/>
  <c r="P64" i="6" s="1"/>
  <c r="L60" i="6"/>
  <c r="L64" i="6" s="1"/>
  <c r="H60" i="6"/>
  <c r="H64" i="6" s="1"/>
  <c r="D60" i="6"/>
  <c r="D64" i="6" s="1"/>
  <c r="P58" i="6"/>
  <c r="L58" i="6"/>
  <c r="H58" i="6"/>
  <c r="D58" i="6"/>
  <c r="P53" i="6"/>
  <c r="L53" i="6"/>
  <c r="H53" i="6"/>
  <c r="D53" i="6"/>
  <c r="P47" i="6"/>
  <c r="P48" i="6" s="1"/>
  <c r="L47" i="6"/>
  <c r="L48" i="6" s="1"/>
  <c r="H47" i="6"/>
  <c r="H48" i="6" s="1"/>
  <c r="D47" i="6"/>
  <c r="D48" i="6" s="1"/>
  <c r="P44" i="6"/>
  <c r="L43" i="6"/>
  <c r="L44" i="6" s="1"/>
  <c r="H43" i="6"/>
  <c r="H44" i="6" s="1"/>
  <c r="D43" i="6"/>
  <c r="D44" i="6" s="1"/>
  <c r="P40" i="6"/>
  <c r="L40" i="6"/>
  <c r="H40" i="6"/>
  <c r="D40" i="6"/>
  <c r="P37" i="6"/>
  <c r="L37" i="6"/>
  <c r="H37" i="6"/>
  <c r="H45" i="6" s="1"/>
  <c r="H54" i="6" s="1"/>
  <c r="D37" i="6"/>
  <c r="D45" i="6" s="1"/>
  <c r="D54" i="6" s="1"/>
  <c r="P18" i="6"/>
  <c r="P21" i="6" s="1"/>
  <c r="L18" i="6"/>
  <c r="L21" i="6" s="1"/>
  <c r="H18" i="6"/>
  <c r="H21" i="6" s="1"/>
  <c r="D18" i="6"/>
  <c r="D21" i="6" s="1"/>
  <c r="P13" i="6"/>
  <c r="L13" i="6"/>
  <c r="H13" i="6"/>
  <c r="D13" i="6"/>
  <c r="P12" i="6"/>
  <c r="L12" i="6"/>
  <c r="H12" i="6"/>
  <c r="D12" i="6"/>
  <c r="P8" i="6"/>
  <c r="P9" i="6" s="1"/>
  <c r="L8" i="6"/>
  <c r="L9" i="6" s="1"/>
  <c r="H8" i="6"/>
  <c r="H9" i="6" s="1"/>
  <c r="D8" i="6"/>
  <c r="D9" i="6" s="1"/>
  <c r="L45" i="6" l="1"/>
  <c r="L54" i="6" s="1"/>
  <c r="P45" i="6"/>
  <c r="P50" i="6" s="1"/>
  <c r="P51" i="6" s="1"/>
  <c r="H52" i="6"/>
  <c r="D11" i="6"/>
  <c r="D25" i="6" s="1"/>
  <c r="D30" i="6" s="1"/>
  <c r="D38" i="6" s="1"/>
  <c r="D10" i="6"/>
  <c r="D52" i="6"/>
  <c r="H11" i="6"/>
  <c r="H10" i="6"/>
  <c r="L11" i="6"/>
  <c r="L25" i="6" s="1"/>
  <c r="L30" i="6" s="1"/>
  <c r="L38" i="6" s="1"/>
  <c r="L10" i="6"/>
  <c r="P11" i="6"/>
  <c r="P25" i="6" s="1"/>
  <c r="P30" i="6" s="1"/>
  <c r="P38" i="6" s="1"/>
  <c r="P10" i="6"/>
  <c r="P52" i="6"/>
  <c r="D50" i="6"/>
  <c r="D51" i="6" s="1"/>
  <c r="H50" i="6"/>
  <c r="H51" i="6" s="1"/>
  <c r="L50" i="6"/>
  <c r="L51" i="6" s="1"/>
  <c r="T62" i="1"/>
  <c r="T59" i="1"/>
  <c r="T53" i="1"/>
  <c r="T47" i="1"/>
  <c r="T48" i="1" s="1"/>
  <c r="T44" i="1"/>
  <c r="T40" i="1"/>
  <c r="T37" i="1"/>
  <c r="X13" i="1"/>
  <c r="X12" i="1"/>
  <c r="X8" i="1"/>
  <c r="X9" i="1" s="1"/>
  <c r="X11" i="1" s="1"/>
  <c r="T13" i="1"/>
  <c r="T12" i="1"/>
  <c r="T8" i="1"/>
  <c r="T9" i="1" s="1"/>
  <c r="T10" i="1" s="1"/>
  <c r="D7" i="4"/>
  <c r="D8" i="4" s="1"/>
  <c r="D9" i="4" s="1"/>
  <c r="H7" i="4"/>
  <c r="H8" i="4" s="1"/>
  <c r="H124" i="5"/>
  <c r="D124" i="5"/>
  <c r="H53" i="2"/>
  <c r="D53" i="2"/>
  <c r="D118" i="5"/>
  <c r="D119" i="5" s="1"/>
  <c r="H89" i="5"/>
  <c r="H92" i="5" s="1"/>
  <c r="H79" i="5"/>
  <c r="H80" i="5" s="1"/>
  <c r="H82" i="5" s="1"/>
  <c r="H83" i="5"/>
  <c r="H84" i="5"/>
  <c r="H108" i="5"/>
  <c r="H111" i="5"/>
  <c r="H131" i="5"/>
  <c r="H135" i="5" s="1"/>
  <c r="D89" i="5"/>
  <c r="D92" i="5" s="1"/>
  <c r="D79" i="5"/>
  <c r="D80" i="5" s="1"/>
  <c r="D81" i="5" s="1"/>
  <c r="D83" i="5"/>
  <c r="D84" i="5"/>
  <c r="D108" i="5"/>
  <c r="D111" i="5"/>
  <c r="D114" i="5"/>
  <c r="D115" i="5" s="1"/>
  <c r="D131" i="5"/>
  <c r="D135" i="5" s="1"/>
  <c r="H132" i="5"/>
  <c r="D132" i="5"/>
  <c r="H129" i="5"/>
  <c r="D129" i="5"/>
  <c r="H118" i="5"/>
  <c r="H119" i="5" s="1"/>
  <c r="H115" i="5"/>
  <c r="D49" i="5"/>
  <c r="D50" i="5" s="1"/>
  <c r="D39" i="5"/>
  <c r="D42" i="5"/>
  <c r="D45" i="5"/>
  <c r="D10" i="5"/>
  <c r="D11" i="5" s="1"/>
  <c r="D13" i="5" s="1"/>
  <c r="P20" i="5"/>
  <c r="P23" i="5" s="1"/>
  <c r="P10" i="5"/>
  <c r="P11" i="5" s="1"/>
  <c r="P13" i="5" s="1"/>
  <c r="P14" i="5"/>
  <c r="P15" i="5"/>
  <c r="P39" i="5"/>
  <c r="P42" i="5"/>
  <c r="P62" i="5"/>
  <c r="P66" i="5" s="1"/>
  <c r="L20" i="5"/>
  <c r="L23" i="5" s="1"/>
  <c r="L10" i="5"/>
  <c r="L11" i="5" s="1"/>
  <c r="L12" i="5" s="1"/>
  <c r="L14" i="5"/>
  <c r="L15" i="5"/>
  <c r="L39" i="5"/>
  <c r="L42" i="5"/>
  <c r="L45" i="5"/>
  <c r="L46" i="5" s="1"/>
  <c r="L62" i="5"/>
  <c r="L66" i="5" s="1"/>
  <c r="H20" i="5"/>
  <c r="H23" i="5" s="1"/>
  <c r="H10" i="5"/>
  <c r="H11" i="5" s="1"/>
  <c r="H14" i="5"/>
  <c r="H15" i="5"/>
  <c r="H39" i="5"/>
  <c r="H42" i="5"/>
  <c r="H45" i="5"/>
  <c r="H46" i="5" s="1"/>
  <c r="H62" i="5"/>
  <c r="H66" i="5" s="1"/>
  <c r="D20" i="5"/>
  <c r="D23" i="5" s="1"/>
  <c r="D14" i="5"/>
  <c r="D15" i="5"/>
  <c r="D62" i="5"/>
  <c r="D66" i="5" s="1"/>
  <c r="P63" i="5"/>
  <c r="L63" i="5"/>
  <c r="H63" i="5"/>
  <c r="D63" i="5"/>
  <c r="P60" i="5"/>
  <c r="L60" i="5"/>
  <c r="H60" i="5"/>
  <c r="D60" i="5"/>
  <c r="P55" i="5"/>
  <c r="L55" i="5"/>
  <c r="H55" i="5"/>
  <c r="D55" i="5"/>
  <c r="P49" i="5"/>
  <c r="P50" i="5" s="1"/>
  <c r="L49" i="5"/>
  <c r="L50" i="5" s="1"/>
  <c r="H49" i="5"/>
  <c r="H50" i="5" s="1"/>
  <c r="P46" i="5"/>
  <c r="D18" i="1"/>
  <c r="D21" i="1" s="1"/>
  <c r="D8" i="1"/>
  <c r="D9" i="1" s="1"/>
  <c r="D10" i="1" s="1"/>
  <c r="D12" i="1"/>
  <c r="D13" i="1"/>
  <c r="D37" i="1"/>
  <c r="D40" i="1"/>
  <c r="D43" i="1"/>
  <c r="D44" i="1" s="1"/>
  <c r="D53" i="1"/>
  <c r="D83" i="4"/>
  <c r="D74" i="4"/>
  <c r="D84" i="4" s="1"/>
  <c r="D88" i="4" s="1"/>
  <c r="D110" i="4" s="1"/>
  <c r="D104" i="4"/>
  <c r="D102" i="4"/>
  <c r="D95" i="4"/>
  <c r="D103" i="4" s="1"/>
  <c r="D109" i="4"/>
  <c r="D118" i="4" s="1"/>
  <c r="D115" i="4"/>
  <c r="D100" i="4"/>
  <c r="D79" i="4"/>
  <c r="H13" i="1"/>
  <c r="H37" i="1"/>
  <c r="H40" i="1"/>
  <c r="H43" i="1"/>
  <c r="H44" i="1" s="1"/>
  <c r="L51" i="4"/>
  <c r="H51" i="4"/>
  <c r="D51" i="4"/>
  <c r="P37" i="1"/>
  <c r="P40" i="1"/>
  <c r="P53" i="1"/>
  <c r="L53" i="1"/>
  <c r="H53" i="1"/>
  <c r="H17" i="4"/>
  <c r="H20" i="4" s="1"/>
  <c r="H11" i="4"/>
  <c r="L17" i="4"/>
  <c r="L20" i="4" s="1"/>
  <c r="L7" i="4"/>
  <c r="L8" i="4" s="1"/>
  <c r="L11" i="4"/>
  <c r="D17" i="4"/>
  <c r="D20" i="4" s="1"/>
  <c r="D11" i="4"/>
  <c r="D12" i="4"/>
  <c r="D35" i="4"/>
  <c r="D38" i="4"/>
  <c r="D41" i="4"/>
  <c r="D42" i="4" s="1"/>
  <c r="D58" i="4"/>
  <c r="D62" i="4" s="1"/>
  <c r="L12" i="4"/>
  <c r="L35" i="4"/>
  <c r="L38" i="4"/>
  <c r="L58" i="4"/>
  <c r="L62" i="4" s="1"/>
  <c r="H12" i="4"/>
  <c r="H35" i="4"/>
  <c r="H38" i="4"/>
  <c r="H41" i="4"/>
  <c r="H42" i="4" s="1"/>
  <c r="H58" i="4"/>
  <c r="H62" i="4" s="1"/>
  <c r="L59" i="4"/>
  <c r="H59" i="4"/>
  <c r="D59" i="4"/>
  <c r="L56" i="4"/>
  <c r="H56" i="4"/>
  <c r="D56" i="4"/>
  <c r="L45" i="4"/>
  <c r="L46" i="4" s="1"/>
  <c r="H45" i="4"/>
  <c r="H46" i="4" s="1"/>
  <c r="D45" i="4"/>
  <c r="D46" i="4" s="1"/>
  <c r="L42" i="4"/>
  <c r="H18" i="1"/>
  <c r="H21" i="1" s="1"/>
  <c r="D47" i="1"/>
  <c r="D48" i="1" s="1"/>
  <c r="D8" i="2"/>
  <c r="D9" i="2" s="1"/>
  <c r="D11" i="2" s="1"/>
  <c r="D12" i="2"/>
  <c r="D18" i="2"/>
  <c r="D21" i="2" s="1"/>
  <c r="D13" i="2"/>
  <c r="H8" i="1"/>
  <c r="H9" i="1" s="1"/>
  <c r="H10" i="1" s="1"/>
  <c r="H12" i="1"/>
  <c r="H61" i="1"/>
  <c r="T17" i="3"/>
  <c r="T20" i="3"/>
  <c r="T7" i="3"/>
  <c r="T8" i="3" s="1"/>
  <c r="T9" i="3" s="1"/>
  <c r="T11" i="3"/>
  <c r="T12" i="3"/>
  <c r="T35" i="3"/>
  <c r="T38" i="3"/>
  <c r="T57" i="3"/>
  <c r="T61" i="3" s="1"/>
  <c r="O17" i="3"/>
  <c r="O20" i="3" s="1"/>
  <c r="O7" i="3"/>
  <c r="O8" i="3" s="1"/>
  <c r="O11" i="3"/>
  <c r="O12" i="3"/>
  <c r="O35" i="3"/>
  <c r="O38" i="3"/>
  <c r="O41" i="3"/>
  <c r="O42" i="3" s="1"/>
  <c r="O57" i="3"/>
  <c r="O61" i="3" s="1"/>
  <c r="J17" i="3"/>
  <c r="J20" i="3" s="1"/>
  <c r="J7" i="3"/>
  <c r="J8" i="3" s="1"/>
  <c r="J11" i="3"/>
  <c r="J12" i="3"/>
  <c r="J35" i="3"/>
  <c r="J38" i="3"/>
  <c r="J41" i="3"/>
  <c r="J42" i="3" s="1"/>
  <c r="J57" i="3"/>
  <c r="J61" i="3" s="1"/>
  <c r="D17" i="3"/>
  <c r="D20" i="3" s="1"/>
  <c r="D7" i="3"/>
  <c r="D8" i="3" s="1"/>
  <c r="D10" i="3" s="1"/>
  <c r="D24" i="3" s="1"/>
  <c r="D29" i="3" s="1"/>
  <c r="D11" i="3"/>
  <c r="D12" i="3"/>
  <c r="D35" i="3"/>
  <c r="D38" i="3"/>
  <c r="D41" i="3"/>
  <c r="D42" i="3" s="1"/>
  <c r="D57" i="3"/>
  <c r="D61" i="3" s="1"/>
  <c r="T58" i="3"/>
  <c r="O58" i="3"/>
  <c r="J58" i="3"/>
  <c r="D58" i="3"/>
  <c r="T55" i="3"/>
  <c r="O55" i="3"/>
  <c r="J55" i="3"/>
  <c r="D55" i="3"/>
  <c r="T45" i="3"/>
  <c r="T46" i="3" s="1"/>
  <c r="O45" i="3"/>
  <c r="O46" i="3" s="1"/>
  <c r="J45" i="3"/>
  <c r="J46" i="3" s="1"/>
  <c r="D45" i="3"/>
  <c r="D46" i="3" s="1"/>
  <c r="T42" i="3"/>
  <c r="H18" i="2"/>
  <c r="H21" i="2" s="1"/>
  <c r="H8" i="2"/>
  <c r="H9" i="2" s="1"/>
  <c r="H10" i="2" s="1"/>
  <c r="H12" i="2"/>
  <c r="H13" i="2"/>
  <c r="H37" i="2"/>
  <c r="H40" i="2"/>
  <c r="H60" i="2"/>
  <c r="H64" i="2" s="1"/>
  <c r="D37" i="2"/>
  <c r="D40" i="2"/>
  <c r="D43" i="2"/>
  <c r="D44" i="2" s="1"/>
  <c r="D60" i="2"/>
  <c r="D64" i="2" s="1"/>
  <c r="H61" i="2"/>
  <c r="D61" i="2"/>
  <c r="H58" i="2"/>
  <c r="D58" i="2"/>
  <c r="H47" i="2"/>
  <c r="H48" i="2" s="1"/>
  <c r="D47" i="2"/>
  <c r="D48" i="2" s="1"/>
  <c r="H44" i="2"/>
  <c r="L37" i="1"/>
  <c r="L40" i="1"/>
  <c r="L43" i="1"/>
  <c r="L44" i="1" s="1"/>
  <c r="P59" i="1"/>
  <c r="L59" i="1"/>
  <c r="H59" i="1"/>
  <c r="D59" i="1"/>
  <c r="D65" i="1" s="1"/>
  <c r="L8" i="1"/>
  <c r="L9" i="1" s="1"/>
  <c r="L11" i="1" s="1"/>
  <c r="L12" i="1"/>
  <c r="L18" i="1"/>
  <c r="L21" i="1" s="1"/>
  <c r="L13" i="1"/>
  <c r="L61" i="1"/>
  <c r="L62" i="1"/>
  <c r="L47" i="1"/>
  <c r="L48" i="1" s="1"/>
  <c r="P44" i="1"/>
  <c r="P18" i="1"/>
  <c r="P21" i="1" s="1"/>
  <c r="P8" i="1"/>
  <c r="P9" i="1" s="1"/>
  <c r="P12" i="1"/>
  <c r="P13" i="1"/>
  <c r="P61" i="1"/>
  <c r="P62" i="1"/>
  <c r="P47" i="1"/>
  <c r="P48" i="1" s="1"/>
  <c r="H62" i="1"/>
  <c r="H47" i="1"/>
  <c r="H48" i="1" s="1"/>
  <c r="D62" i="1"/>
  <c r="P12" i="5"/>
  <c r="L47" i="5" l="1"/>
  <c r="L56" i="5" s="1"/>
  <c r="P54" i="6"/>
  <c r="D105" i="4"/>
  <c r="H116" i="5"/>
  <c r="H125" i="5" s="1"/>
  <c r="L52" i="6"/>
  <c r="L62" i="6" s="1"/>
  <c r="L65" i="6" s="1"/>
  <c r="X25" i="1"/>
  <c r="X30" i="1" s="1"/>
  <c r="X38" i="1" s="1"/>
  <c r="T45" i="1"/>
  <c r="T54" i="1" s="1"/>
  <c r="D45" i="1"/>
  <c r="D54" i="1" s="1"/>
  <c r="L45" i="1"/>
  <c r="L54" i="1" s="1"/>
  <c r="H65" i="1"/>
  <c r="D25" i="2"/>
  <c r="D30" i="2" s="1"/>
  <c r="D38" i="2" s="1"/>
  <c r="P45" i="1"/>
  <c r="P54" i="1" s="1"/>
  <c r="L65" i="1"/>
  <c r="P65" i="1"/>
  <c r="X50" i="1"/>
  <c r="X52" i="1"/>
  <c r="T65" i="1"/>
  <c r="L25" i="1"/>
  <c r="L30" i="1" s="1"/>
  <c r="L38" i="1" s="1"/>
  <c r="H45" i="1"/>
  <c r="H54" i="1" s="1"/>
  <c r="H10" i="4"/>
  <c r="H24" i="4" s="1"/>
  <c r="H29" i="4" s="1"/>
  <c r="H65" i="4" s="1"/>
  <c r="H9" i="4"/>
  <c r="D111" i="4"/>
  <c r="D113" i="4" s="1"/>
  <c r="P27" i="5"/>
  <c r="P32" i="5" s="1"/>
  <c r="P40" i="5" s="1"/>
  <c r="D116" i="5"/>
  <c r="D27" i="5"/>
  <c r="D32" i="5" s="1"/>
  <c r="H81" i="5"/>
  <c r="J43" i="3"/>
  <c r="J51" i="3" s="1"/>
  <c r="D12" i="5"/>
  <c r="D47" i="5"/>
  <c r="L10" i="4"/>
  <c r="L24" i="4" s="1"/>
  <c r="L29" i="4" s="1"/>
  <c r="L66" i="4" s="1"/>
  <c r="L9" i="4"/>
  <c r="D36" i="3"/>
  <c r="L10" i="1"/>
  <c r="O43" i="3"/>
  <c r="O50" i="3" s="1"/>
  <c r="T43" i="3"/>
  <c r="T50" i="3" s="1"/>
  <c r="T10" i="3"/>
  <c r="T24" i="3" s="1"/>
  <c r="T29" i="3" s="1"/>
  <c r="T36" i="3" s="1"/>
  <c r="H43" i="4"/>
  <c r="H48" i="4" s="1"/>
  <c r="H49" i="4" s="1"/>
  <c r="D43" i="4"/>
  <c r="D40" i="5"/>
  <c r="H47" i="5"/>
  <c r="H56" i="5" s="1"/>
  <c r="H96" i="5"/>
  <c r="H101" i="5" s="1"/>
  <c r="H109" i="5" s="1"/>
  <c r="D10" i="2"/>
  <c r="D45" i="2"/>
  <c r="D9" i="3"/>
  <c r="H11" i="2"/>
  <c r="H25" i="2" s="1"/>
  <c r="H30" i="2" s="1"/>
  <c r="H38" i="2" s="1"/>
  <c r="L43" i="4"/>
  <c r="L50" i="4" s="1"/>
  <c r="D46" i="5"/>
  <c r="D10" i="4"/>
  <c r="D24" i="4" s="1"/>
  <c r="D29" i="4" s="1"/>
  <c r="D36" i="4" s="1"/>
  <c r="H11" i="1"/>
  <c r="H25" i="1" s="1"/>
  <c r="H30" i="1" s="1"/>
  <c r="H38" i="1" s="1"/>
  <c r="D11" i="1"/>
  <c r="D25" i="1" s="1"/>
  <c r="D30" i="1" s="1"/>
  <c r="D38" i="1" s="1"/>
  <c r="X10" i="1"/>
  <c r="O9" i="3"/>
  <c r="O10" i="3"/>
  <c r="O24" i="3" s="1"/>
  <c r="O29" i="3" s="1"/>
  <c r="O36" i="3" s="1"/>
  <c r="O59" i="3" s="1"/>
  <c r="O62" i="3" s="1"/>
  <c r="T51" i="3"/>
  <c r="L36" i="4"/>
  <c r="D125" i="5"/>
  <c r="D121" i="5"/>
  <c r="D122" i="5" s="1"/>
  <c r="D123" i="5"/>
  <c r="J10" i="3"/>
  <c r="J24" i="3" s="1"/>
  <c r="J29" i="3" s="1"/>
  <c r="J36" i="3" s="1"/>
  <c r="J9" i="3"/>
  <c r="D52" i="5"/>
  <c r="D53" i="5" s="1"/>
  <c r="D56" i="5"/>
  <c r="D54" i="5"/>
  <c r="D64" i="5" s="1"/>
  <c r="D67" i="5" s="1"/>
  <c r="P11" i="1"/>
  <c r="P10" i="1"/>
  <c r="H13" i="5"/>
  <c r="H27" i="5" s="1"/>
  <c r="H32" i="5" s="1"/>
  <c r="H40" i="5" s="1"/>
  <c r="H12" i="5"/>
  <c r="H25" i="6"/>
  <c r="H30" i="6" s="1"/>
  <c r="H38" i="6" s="1"/>
  <c r="H62" i="6" s="1"/>
  <c r="H65" i="6" s="1"/>
  <c r="D112" i="4"/>
  <c r="L13" i="5"/>
  <c r="L27" i="5" s="1"/>
  <c r="L32" i="5" s="1"/>
  <c r="L40" i="5" s="1"/>
  <c r="H45" i="2"/>
  <c r="H54" i="2" s="1"/>
  <c r="O51" i="3"/>
  <c r="O48" i="3"/>
  <c r="O49" i="3" s="1"/>
  <c r="D43" i="3"/>
  <c r="D50" i="4"/>
  <c r="L52" i="5"/>
  <c r="L53" i="5" s="1"/>
  <c r="H36" i="4"/>
  <c r="L54" i="5"/>
  <c r="D82" i="5"/>
  <c r="D96" i="5" s="1"/>
  <c r="D101" i="5" s="1"/>
  <c r="D109" i="5" s="1"/>
  <c r="T11" i="1"/>
  <c r="T25" i="1" s="1"/>
  <c r="T30" i="1" s="1"/>
  <c r="T38" i="1" s="1"/>
  <c r="P47" i="5"/>
  <c r="P56" i="5" s="1"/>
  <c r="D62" i="6"/>
  <c r="D65" i="6" s="1"/>
  <c r="P62" i="6"/>
  <c r="P65" i="6" s="1"/>
  <c r="J48" i="3" l="1"/>
  <c r="J49" i="3" s="1"/>
  <c r="H54" i="5"/>
  <c r="H123" i="5"/>
  <c r="H133" i="5" s="1"/>
  <c r="H136" i="5" s="1"/>
  <c r="J50" i="3"/>
  <c r="J59" i="3" s="1"/>
  <c r="J62" i="3" s="1"/>
  <c r="D133" i="5"/>
  <c r="D136" i="5" s="1"/>
  <c r="H121" i="5"/>
  <c r="H122" i="5" s="1"/>
  <c r="T52" i="1"/>
  <c r="P25" i="1"/>
  <c r="P30" i="1" s="1"/>
  <c r="P38" i="1" s="1"/>
  <c r="X63" i="1"/>
  <c r="X66" i="1" s="1"/>
  <c r="P52" i="1"/>
  <c r="T50" i="1"/>
  <c r="T51" i="1" s="1"/>
  <c r="T75" i="1" s="1"/>
  <c r="T78" i="1" s="1"/>
  <c r="X51" i="1"/>
  <c r="X75" i="1" s="1"/>
  <c r="X78" i="1" s="1"/>
  <c r="D52" i="1"/>
  <c r="D63" i="1" s="1"/>
  <c r="D66" i="1" s="1"/>
  <c r="D50" i="1"/>
  <c r="L50" i="1"/>
  <c r="H52" i="1"/>
  <c r="L52" i="1"/>
  <c r="L63" i="1" s="1"/>
  <c r="L66" i="1" s="1"/>
  <c r="P50" i="1"/>
  <c r="H52" i="4"/>
  <c r="H50" i="4"/>
  <c r="H60" i="4" s="1"/>
  <c r="H63" i="4" s="1"/>
  <c r="H50" i="1"/>
  <c r="T63" i="1"/>
  <c r="T66" i="1" s="1"/>
  <c r="H52" i="5"/>
  <c r="H53" i="5" s="1"/>
  <c r="H64" i="5"/>
  <c r="H67" i="5" s="1"/>
  <c r="H66" i="4"/>
  <c r="L65" i="4"/>
  <c r="T59" i="3"/>
  <c r="T62" i="3" s="1"/>
  <c r="L60" i="4"/>
  <c r="L63" i="4" s="1"/>
  <c r="L48" i="4"/>
  <c r="L49" i="4" s="1"/>
  <c r="D52" i="4"/>
  <c r="D48" i="4"/>
  <c r="D49" i="4" s="1"/>
  <c r="H50" i="2"/>
  <c r="H51" i="2" s="1"/>
  <c r="H52" i="2"/>
  <c r="H62" i="2" s="1"/>
  <c r="H65" i="2" s="1"/>
  <c r="P52" i="5"/>
  <c r="P53" i="5" s="1"/>
  <c r="T48" i="3"/>
  <c r="T49" i="3" s="1"/>
  <c r="L52" i="4"/>
  <c r="D66" i="4"/>
  <c r="D65" i="4"/>
  <c r="D60" i="4"/>
  <c r="D63" i="4" s="1"/>
  <c r="P54" i="5"/>
  <c r="P64" i="5" s="1"/>
  <c r="P67" i="5" s="1"/>
  <c r="D50" i="2"/>
  <c r="D51" i="2" s="1"/>
  <c r="D54" i="2"/>
  <c r="D52" i="2"/>
  <c r="D62" i="2" s="1"/>
  <c r="D65" i="2" s="1"/>
  <c r="D50" i="3"/>
  <c r="D59" i="3" s="1"/>
  <c r="D62" i="3" s="1"/>
  <c r="D51" i="3"/>
  <c r="D119" i="4"/>
  <c r="D114" i="4"/>
  <c r="D48" i="3"/>
  <c r="D49" i="3" s="1"/>
  <c r="L64" i="5"/>
  <c r="L67" i="5" s="1"/>
  <c r="P63" i="1" l="1"/>
  <c r="P66" i="1" s="1"/>
  <c r="D51" i="1"/>
  <c r="H51" i="1"/>
  <c r="L51" i="1"/>
  <c r="P51" i="1"/>
  <c r="H63" i="1"/>
  <c r="H66" i="1" s="1"/>
  <c r="P75" i="1" l="1"/>
  <c r="P78" i="1" s="1"/>
  <c r="H75" i="1"/>
  <c r="H78" i="1" s="1"/>
  <c r="L75" i="1"/>
  <c r="L78" i="1" s="1"/>
  <c r="D75" i="1"/>
  <c r="D78" i="1" s="1"/>
</calcChain>
</file>

<file path=xl/sharedStrings.xml><?xml version="1.0" encoding="utf-8"?>
<sst xmlns="http://schemas.openxmlformats.org/spreadsheetml/2006/main" count="2953" uniqueCount="339">
  <si>
    <t>変調方式</t>
    <rPh sb="0" eb="2">
      <t>ヘンチョウ</t>
    </rPh>
    <rPh sb="2" eb="4">
      <t>ホウシキ</t>
    </rPh>
    <phoneticPr fontId="1"/>
  </si>
  <si>
    <t>軌道高度</t>
    <rPh sb="0" eb="2">
      <t>キドウ</t>
    </rPh>
    <rPh sb="2" eb="4">
      <t>コウド</t>
    </rPh>
    <phoneticPr fontId="1"/>
  </si>
  <si>
    <t>エレベーション角度</t>
    <rPh sb="7" eb="9">
      <t>カクド</t>
    </rPh>
    <phoneticPr fontId="1"/>
  </si>
  <si>
    <t>可視限界角度</t>
    <rPh sb="0" eb="2">
      <t>カシ</t>
    </rPh>
    <rPh sb="2" eb="4">
      <t>ゲンカイ</t>
    </rPh>
    <rPh sb="4" eb="6">
      <t>カクド</t>
    </rPh>
    <phoneticPr fontId="1"/>
  </si>
  <si>
    <t>最大伝播路長</t>
    <rPh sb="0" eb="2">
      <t>サイダイ</t>
    </rPh>
    <rPh sb="2" eb="3">
      <t>デン</t>
    </rPh>
    <rPh sb="3" eb="4">
      <t>バン</t>
    </rPh>
    <rPh sb="4" eb="5">
      <t>ロ</t>
    </rPh>
    <rPh sb="5" eb="6">
      <t>チョウ</t>
    </rPh>
    <phoneticPr fontId="1"/>
  </si>
  <si>
    <t>送信機出力</t>
    <rPh sb="0" eb="3">
      <t>ソウシンキ</t>
    </rPh>
    <rPh sb="3" eb="5">
      <t>シュツリョク</t>
    </rPh>
    <phoneticPr fontId="1"/>
  </si>
  <si>
    <t>送信周波数</t>
    <rPh sb="0" eb="2">
      <t>ソウシン</t>
    </rPh>
    <rPh sb="2" eb="5">
      <t>シュウハスウ</t>
    </rPh>
    <phoneticPr fontId="1"/>
  </si>
  <si>
    <t>送信給電損失</t>
    <rPh sb="0" eb="2">
      <t>ソウシン</t>
    </rPh>
    <rPh sb="2" eb="4">
      <t>キュウデン</t>
    </rPh>
    <rPh sb="4" eb="6">
      <t>ソンシツ</t>
    </rPh>
    <phoneticPr fontId="1"/>
  </si>
  <si>
    <t>送信アンテナ利得</t>
    <rPh sb="0" eb="2">
      <t>ソウシン</t>
    </rPh>
    <rPh sb="6" eb="8">
      <t>リトク</t>
    </rPh>
    <phoneticPr fontId="1"/>
  </si>
  <si>
    <t>実行放射電圧EIRP</t>
    <rPh sb="0" eb="2">
      <t>ジッコウ</t>
    </rPh>
    <rPh sb="2" eb="4">
      <t>ホウシャ</t>
    </rPh>
    <rPh sb="4" eb="6">
      <t>デンアツ</t>
    </rPh>
    <phoneticPr fontId="1"/>
  </si>
  <si>
    <t>送信局</t>
    <rPh sb="0" eb="3">
      <t>ソウシンキョク</t>
    </rPh>
    <phoneticPr fontId="1"/>
  </si>
  <si>
    <t>伝播特性</t>
    <rPh sb="0" eb="1">
      <t>デン</t>
    </rPh>
    <rPh sb="1" eb="2">
      <t>バン</t>
    </rPh>
    <rPh sb="2" eb="4">
      <t>トクセイ</t>
    </rPh>
    <phoneticPr fontId="1"/>
  </si>
  <si>
    <t>自由空間損失</t>
    <rPh sb="0" eb="2">
      <t>ジユウ</t>
    </rPh>
    <rPh sb="2" eb="4">
      <t>クウカン</t>
    </rPh>
    <rPh sb="4" eb="6">
      <t>ソンシツ</t>
    </rPh>
    <phoneticPr fontId="1"/>
  </si>
  <si>
    <t>偏波損失</t>
    <rPh sb="0" eb="2">
      <t>ヘンパ</t>
    </rPh>
    <rPh sb="2" eb="4">
      <t>ソンシツ</t>
    </rPh>
    <phoneticPr fontId="1"/>
  </si>
  <si>
    <t>大気吸収損失</t>
  </si>
  <si>
    <t>降雨損失</t>
    <rPh sb="0" eb="2">
      <t>コウウ</t>
    </rPh>
    <rPh sb="2" eb="4">
      <t>ソンシツ</t>
    </rPh>
    <phoneticPr fontId="1"/>
  </si>
  <si>
    <t>各種損失</t>
    <rPh sb="0" eb="2">
      <t>カクシュ</t>
    </rPh>
    <rPh sb="2" eb="4">
      <t>ソンシツ</t>
    </rPh>
    <phoneticPr fontId="1"/>
  </si>
  <si>
    <t>伝播時損失合計</t>
    <rPh sb="0" eb="1">
      <t>デン</t>
    </rPh>
    <rPh sb="1" eb="2">
      <t>バン</t>
    </rPh>
    <rPh sb="2" eb="3">
      <t>ジ</t>
    </rPh>
    <rPh sb="3" eb="5">
      <t>ソンシツ</t>
    </rPh>
    <rPh sb="5" eb="7">
      <t>ゴウケイ</t>
    </rPh>
    <phoneticPr fontId="1"/>
  </si>
  <si>
    <t>地上局</t>
    <rPh sb="0" eb="3">
      <t>チジョウキョク</t>
    </rPh>
    <phoneticPr fontId="1"/>
  </si>
  <si>
    <t>受信アンテナポインティング損失</t>
    <rPh sb="0" eb="2">
      <t>ジュシン</t>
    </rPh>
    <rPh sb="13" eb="15">
      <t>ソンシツ</t>
    </rPh>
    <phoneticPr fontId="1"/>
  </si>
  <si>
    <t>送信アンテナポインティング損失</t>
    <rPh sb="0" eb="2">
      <t>ソウシン</t>
    </rPh>
    <rPh sb="13" eb="15">
      <t>ソンシツ</t>
    </rPh>
    <phoneticPr fontId="1"/>
  </si>
  <si>
    <t>受信アンテナ利得</t>
    <rPh sb="0" eb="2">
      <t>ジュシン</t>
    </rPh>
    <rPh sb="6" eb="8">
      <t>リトク</t>
    </rPh>
    <phoneticPr fontId="1"/>
  </si>
  <si>
    <t>受信給電損失</t>
    <rPh sb="0" eb="2">
      <t>ジュシン</t>
    </rPh>
    <rPh sb="2" eb="4">
      <t>キュウデン</t>
    </rPh>
    <rPh sb="4" eb="6">
      <t>ソンシツ</t>
    </rPh>
    <phoneticPr fontId="1"/>
  </si>
  <si>
    <t>受信レベル</t>
    <rPh sb="0" eb="2">
      <t>ジュシン</t>
    </rPh>
    <phoneticPr fontId="1"/>
  </si>
  <si>
    <t>アンテナ雑音温度</t>
    <rPh sb="4" eb="6">
      <t>ザツオン</t>
    </rPh>
    <rPh sb="6" eb="8">
      <t>オンド</t>
    </rPh>
    <phoneticPr fontId="1"/>
  </si>
  <si>
    <t>給電線雑音温度</t>
    <rPh sb="0" eb="1">
      <t>キュウ</t>
    </rPh>
    <rPh sb="1" eb="3">
      <t>デンセン</t>
    </rPh>
    <rPh sb="3" eb="5">
      <t>ザツオン</t>
    </rPh>
    <rPh sb="5" eb="7">
      <t>オンド</t>
    </rPh>
    <phoneticPr fontId="1"/>
  </si>
  <si>
    <t>受信機雑音温度</t>
    <rPh sb="0" eb="3">
      <t>ジュシンキ</t>
    </rPh>
    <rPh sb="3" eb="5">
      <t>ザツオン</t>
    </rPh>
    <rPh sb="5" eb="7">
      <t>オンド</t>
    </rPh>
    <phoneticPr fontId="1"/>
  </si>
  <si>
    <t>雑音指数</t>
    <rPh sb="0" eb="2">
      <t>ザツオン</t>
    </rPh>
    <rPh sb="2" eb="4">
      <t>シスウ</t>
    </rPh>
    <phoneticPr fontId="1"/>
  </si>
  <si>
    <t>システム雑音温度</t>
    <rPh sb="4" eb="6">
      <t>ザツオン</t>
    </rPh>
    <rPh sb="6" eb="8">
      <t>オンド</t>
    </rPh>
    <phoneticPr fontId="1"/>
  </si>
  <si>
    <t>天空雑音温度増加分</t>
    <rPh sb="0" eb="2">
      <t>テンクウ</t>
    </rPh>
    <rPh sb="2" eb="4">
      <t>ザツオン</t>
    </rPh>
    <rPh sb="4" eb="6">
      <t>オンド</t>
    </rPh>
    <rPh sb="6" eb="9">
      <t>ゾウカブン</t>
    </rPh>
    <phoneticPr fontId="1"/>
  </si>
  <si>
    <t>雑音電力</t>
    <rPh sb="0" eb="2">
      <t>ザツオン</t>
    </rPh>
    <rPh sb="2" eb="4">
      <t>デンリョク</t>
    </rPh>
    <phoneticPr fontId="1"/>
  </si>
  <si>
    <t>雑音電力密度</t>
    <rPh sb="0" eb="2">
      <t>ザツオン</t>
    </rPh>
    <rPh sb="2" eb="4">
      <t>デンリョク</t>
    </rPh>
    <rPh sb="4" eb="6">
      <t>ミツド</t>
    </rPh>
    <phoneticPr fontId="1"/>
  </si>
  <si>
    <t>受信G/T</t>
    <rPh sb="0" eb="2">
      <t>ジュシン</t>
    </rPh>
    <phoneticPr fontId="1"/>
  </si>
  <si>
    <t>復調損失</t>
    <rPh sb="0" eb="2">
      <t>フクチョウ</t>
    </rPh>
    <rPh sb="2" eb="4">
      <t>ソンシツ</t>
    </rPh>
    <phoneticPr fontId="1"/>
  </si>
  <si>
    <t>ビットレート</t>
    <phoneticPr fontId="1"/>
  </si>
  <si>
    <r>
      <t>受信C/N</t>
    </r>
    <r>
      <rPr>
        <vertAlign val="subscript"/>
        <sz val="10.5"/>
        <rFont val="ＭＳ Ｐゴシック"/>
        <family val="3"/>
        <charset val="128"/>
      </rPr>
      <t xml:space="preserve">0 </t>
    </r>
    <r>
      <rPr>
        <sz val="10.5"/>
        <rFont val="ＭＳ Ｐゴシック"/>
        <family val="3"/>
        <charset val="128"/>
      </rPr>
      <t>（受信電力/雑音電力）</t>
    </r>
    <rPh sb="0" eb="2">
      <t>ジュシン</t>
    </rPh>
    <rPh sb="8" eb="10">
      <t>ジュシン</t>
    </rPh>
    <rPh sb="10" eb="12">
      <t>デンリョク</t>
    </rPh>
    <rPh sb="13" eb="15">
      <t>ザツオン</t>
    </rPh>
    <rPh sb="15" eb="17">
      <t>デンリョク</t>
    </rPh>
    <phoneticPr fontId="1"/>
  </si>
  <si>
    <r>
      <t>要求C/N</t>
    </r>
    <r>
      <rPr>
        <vertAlign val="subscript"/>
        <sz val="10.5"/>
        <rFont val="ＭＳ Ｐゴシック"/>
        <family val="3"/>
        <charset val="128"/>
      </rPr>
      <t>0</t>
    </r>
    <rPh sb="0" eb="2">
      <t>ヨウキュウ</t>
    </rPh>
    <phoneticPr fontId="1"/>
  </si>
  <si>
    <r>
      <t>要求E</t>
    </r>
    <r>
      <rPr>
        <vertAlign val="subscript"/>
        <sz val="10.5"/>
        <rFont val="ＭＳ Ｐゴシック"/>
        <family val="3"/>
        <charset val="128"/>
      </rPr>
      <t>b</t>
    </r>
    <r>
      <rPr>
        <sz val="10.5"/>
        <rFont val="ＭＳ Ｐゴシック"/>
        <family val="3"/>
        <charset val="128"/>
      </rPr>
      <t>/N</t>
    </r>
    <r>
      <rPr>
        <vertAlign val="subscript"/>
        <sz val="10.5"/>
        <rFont val="ＭＳ Ｐゴシック"/>
        <family val="3"/>
        <charset val="128"/>
      </rPr>
      <t>0</t>
    </r>
    <rPh sb="0" eb="2">
      <t>ヨウキュウ</t>
    </rPh>
    <phoneticPr fontId="1"/>
  </si>
  <si>
    <t>H[km]</t>
    <phoneticPr fontId="1"/>
  </si>
  <si>
    <t>θ[deg]</t>
    <phoneticPr fontId="1"/>
  </si>
  <si>
    <t>θ[rad]</t>
    <phoneticPr fontId="1"/>
  </si>
  <si>
    <r>
      <t>θ</t>
    </r>
    <r>
      <rPr>
        <vertAlign val="subscript"/>
        <sz val="10.5"/>
        <rFont val="ＭＳ Ｐゴシック"/>
        <family val="3"/>
        <charset val="128"/>
      </rPr>
      <t>EL</t>
    </r>
    <r>
      <rPr>
        <sz val="10.5"/>
        <rFont val="ＭＳ Ｐゴシック"/>
        <family val="3"/>
        <charset val="128"/>
      </rPr>
      <t>[deg]</t>
    </r>
    <phoneticPr fontId="1"/>
  </si>
  <si>
    <r>
      <t>θ</t>
    </r>
    <r>
      <rPr>
        <vertAlign val="subscript"/>
        <sz val="10.5"/>
        <rFont val="ＭＳ Ｐゴシック"/>
        <family val="3"/>
        <charset val="128"/>
      </rPr>
      <t>EL</t>
    </r>
    <r>
      <rPr>
        <sz val="10.5"/>
        <rFont val="ＭＳ Ｐゴシック"/>
        <family val="3"/>
        <charset val="128"/>
      </rPr>
      <t>[rad]</t>
    </r>
    <phoneticPr fontId="1"/>
  </si>
  <si>
    <t>D[km]</t>
    <phoneticPr fontId="1"/>
  </si>
  <si>
    <t>f[MHz]</t>
    <phoneticPr fontId="1"/>
  </si>
  <si>
    <r>
      <t>P</t>
    </r>
    <r>
      <rPr>
        <vertAlign val="subscript"/>
        <sz val="10.5"/>
        <rFont val="ＭＳ Ｐゴシック"/>
        <family val="3"/>
        <charset val="128"/>
      </rPr>
      <t>TX</t>
    </r>
    <r>
      <rPr>
        <sz val="10.5"/>
        <rFont val="ＭＳ Ｐゴシック"/>
        <family val="3"/>
        <charset val="128"/>
      </rPr>
      <t>[W]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</si>
  <si>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FTX</t>
    </r>
    <r>
      <rPr>
        <sz val="10.5"/>
        <rFont val="ＭＳ Ｐゴシック"/>
        <family val="3"/>
        <charset val="128"/>
      </rPr>
      <t>[dB]</t>
    </r>
    <phoneticPr fontId="1"/>
  </si>
  <si>
    <r>
      <t>G</t>
    </r>
    <r>
      <rPr>
        <vertAlign val="subscript"/>
        <sz val="10.5"/>
        <rFont val="ＭＳ Ｐゴシック"/>
        <family val="3"/>
        <charset val="128"/>
      </rPr>
      <t>ATX</t>
    </r>
    <r>
      <rPr>
        <sz val="10.5"/>
        <rFont val="ＭＳ Ｐゴシック"/>
        <family val="3"/>
        <charset val="128"/>
      </rPr>
      <t>[dB]</t>
    </r>
    <phoneticPr fontId="1"/>
  </si>
  <si>
    <r>
      <t>P</t>
    </r>
    <r>
      <rPr>
        <vertAlign val="subscript"/>
        <sz val="10.5"/>
        <rFont val="ＭＳ Ｐゴシック"/>
        <family val="3"/>
        <charset val="128"/>
      </rPr>
      <t>E</t>
    </r>
    <r>
      <rPr>
        <sz val="10.5"/>
        <rFont val="ＭＳ Ｐゴシック"/>
        <family val="3"/>
        <charset val="128"/>
      </rPr>
      <t>[dBW]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</si>
  <si>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APt</t>
    </r>
    <r>
      <rPr>
        <sz val="10.5"/>
        <rFont val="ＭＳ Ｐゴシック"/>
        <family val="3"/>
        <charset val="128"/>
      </rPr>
      <t>[dB]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</si>
  <si>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P</t>
    </r>
    <r>
      <rPr>
        <sz val="10.5"/>
        <rFont val="ＭＳ Ｐゴシック"/>
        <family val="3"/>
        <charset val="128"/>
      </rPr>
      <t>[dB]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</si>
  <si>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A</t>
    </r>
    <r>
      <rPr>
        <sz val="10.5"/>
        <rFont val="ＭＳ Ｐゴシック"/>
        <family val="3"/>
        <charset val="128"/>
      </rPr>
      <t>[dB]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</si>
  <si>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RA</t>
    </r>
    <r>
      <rPr>
        <sz val="10.5"/>
        <rFont val="ＭＳ Ｐゴシック"/>
        <family val="3"/>
        <charset val="128"/>
      </rPr>
      <t>[dB]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</si>
  <si>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V</t>
    </r>
    <r>
      <rPr>
        <sz val="10.5"/>
        <rFont val="ＭＳ Ｐゴシック"/>
        <family val="3"/>
        <charset val="128"/>
      </rPr>
      <t>[dB]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</si>
  <si>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pr</t>
    </r>
    <r>
      <rPr>
        <sz val="10.5"/>
        <rFont val="ＭＳ Ｐゴシック"/>
        <family val="3"/>
        <charset val="128"/>
      </rPr>
      <t>[dB]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</si>
  <si>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d</t>
    </r>
    <r>
      <rPr>
        <sz val="10.5"/>
        <rFont val="ＭＳ Ｐゴシック"/>
        <family val="3"/>
        <charset val="128"/>
      </rPr>
      <t>[dB]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</si>
  <si>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APr</t>
    </r>
    <r>
      <rPr>
        <sz val="10.5"/>
        <rFont val="ＭＳ Ｐゴシック"/>
        <family val="3"/>
        <charset val="128"/>
      </rPr>
      <t>[dB]</t>
    </r>
    <phoneticPr fontId="1"/>
  </si>
  <si>
    <r>
      <t>G</t>
    </r>
    <r>
      <rPr>
        <vertAlign val="subscript"/>
        <sz val="10.5"/>
        <rFont val="ＭＳ Ｐゴシック"/>
        <family val="3"/>
        <charset val="128"/>
      </rPr>
      <t>ARX</t>
    </r>
    <r>
      <rPr>
        <sz val="10.5"/>
        <rFont val="ＭＳ Ｐゴシック"/>
        <family val="3"/>
        <charset val="128"/>
      </rPr>
      <t>[dB]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</si>
  <si>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FRX</t>
    </r>
    <r>
      <rPr>
        <sz val="10.5"/>
        <rFont val="ＭＳ Ｐゴシック"/>
        <family val="3"/>
        <charset val="128"/>
      </rPr>
      <t>[dB]</t>
    </r>
    <phoneticPr fontId="1"/>
  </si>
  <si>
    <t>C[dB]</t>
    <phoneticPr fontId="1"/>
  </si>
  <si>
    <r>
      <t>T</t>
    </r>
    <r>
      <rPr>
        <vertAlign val="subscript"/>
        <sz val="10.5"/>
        <rFont val="ＭＳ Ｐゴシック"/>
        <family val="3"/>
        <charset val="128"/>
      </rPr>
      <t>A</t>
    </r>
    <r>
      <rPr>
        <sz val="10.5"/>
        <rFont val="ＭＳ Ｐゴシック"/>
        <family val="3"/>
        <charset val="128"/>
      </rPr>
      <t>[K]</t>
    </r>
    <phoneticPr fontId="1"/>
  </si>
  <si>
    <t>受信機周囲温度</t>
    <rPh sb="0" eb="3">
      <t>ジュシンキ</t>
    </rPh>
    <rPh sb="3" eb="5">
      <t>シュウイ</t>
    </rPh>
    <rPh sb="5" eb="7">
      <t>オンド</t>
    </rPh>
    <phoneticPr fontId="1"/>
  </si>
  <si>
    <r>
      <t>T</t>
    </r>
    <r>
      <rPr>
        <vertAlign val="subscript"/>
        <sz val="10.5"/>
        <rFont val="ＭＳ Ｐゴシック"/>
        <family val="3"/>
        <charset val="128"/>
      </rPr>
      <t>Ｆ</t>
    </r>
    <r>
      <rPr>
        <sz val="10.5"/>
        <rFont val="ＭＳ Ｐゴシック"/>
        <family val="3"/>
        <charset val="128"/>
      </rPr>
      <t>[K]</t>
    </r>
    <phoneticPr fontId="1"/>
  </si>
  <si>
    <r>
      <t>T</t>
    </r>
    <r>
      <rPr>
        <vertAlign val="subscript"/>
        <sz val="10.5"/>
        <rFont val="ＭＳ Ｐゴシック"/>
        <family val="3"/>
        <charset val="128"/>
      </rPr>
      <t>E</t>
    </r>
    <r>
      <rPr>
        <sz val="10.5"/>
        <rFont val="ＭＳ Ｐゴシック"/>
        <family val="3"/>
        <charset val="128"/>
      </rPr>
      <t>[K]</t>
    </r>
    <phoneticPr fontId="1"/>
  </si>
  <si>
    <r>
      <t>T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[K]</t>
    </r>
    <phoneticPr fontId="1"/>
  </si>
  <si>
    <t>NF[dB]</t>
    <phoneticPr fontId="1"/>
  </si>
  <si>
    <t>nf[-]</t>
    <phoneticPr fontId="1"/>
  </si>
  <si>
    <r>
      <t>T</t>
    </r>
    <r>
      <rPr>
        <vertAlign val="subscript"/>
        <sz val="10.5"/>
        <rFont val="ＭＳ Ｐゴシック"/>
        <family val="3"/>
        <charset val="128"/>
      </rPr>
      <t>S</t>
    </r>
    <r>
      <rPr>
        <sz val="10.5"/>
        <rFont val="ＭＳ Ｐゴシック"/>
        <family val="3"/>
        <charset val="128"/>
      </rPr>
      <t>[K]</t>
    </r>
    <phoneticPr fontId="1"/>
  </si>
  <si>
    <r>
      <t>T</t>
    </r>
    <r>
      <rPr>
        <vertAlign val="subscript"/>
        <sz val="10.5"/>
        <rFont val="ＭＳ Ｐゴシック"/>
        <family val="3"/>
        <charset val="128"/>
      </rPr>
      <t>SKY</t>
    </r>
    <r>
      <rPr>
        <sz val="10.5"/>
        <rFont val="ＭＳ Ｐゴシック"/>
        <family val="3"/>
        <charset val="128"/>
      </rPr>
      <t>[K]</t>
    </r>
    <phoneticPr fontId="1"/>
  </si>
  <si>
    <t>最大信号通過バンド幅</t>
    <rPh sb="0" eb="2">
      <t>サイダイ</t>
    </rPh>
    <rPh sb="2" eb="4">
      <t>シンゴウ</t>
    </rPh>
    <rPh sb="4" eb="6">
      <t>ツウカ</t>
    </rPh>
    <rPh sb="9" eb="10">
      <t>ハバ</t>
    </rPh>
    <phoneticPr fontId="1"/>
  </si>
  <si>
    <r>
      <t>N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[dB]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</si>
  <si>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D</t>
    </r>
    <r>
      <rPr>
        <sz val="10.5"/>
        <rFont val="ＭＳ Ｐゴシック"/>
        <family val="3"/>
        <charset val="128"/>
      </rPr>
      <t>[dB]</t>
    </r>
    <phoneticPr fontId="1"/>
  </si>
  <si>
    <r>
      <t>B</t>
    </r>
    <r>
      <rPr>
        <vertAlign val="subscript"/>
        <sz val="10.5"/>
        <rFont val="ＭＳ Ｐゴシック"/>
        <family val="3"/>
        <charset val="128"/>
      </rPr>
      <t>ps</t>
    </r>
    <r>
      <rPr>
        <sz val="10.5"/>
        <rFont val="ＭＳ Ｐゴシック"/>
        <family val="3"/>
        <charset val="128"/>
      </rPr>
      <t>[bps]</t>
    </r>
    <phoneticPr fontId="1"/>
  </si>
  <si>
    <r>
      <t>B</t>
    </r>
    <r>
      <rPr>
        <vertAlign val="subscript"/>
        <sz val="10.5"/>
        <rFont val="ＭＳ Ｐゴシック"/>
        <family val="3"/>
        <charset val="128"/>
      </rPr>
      <t>ps</t>
    </r>
    <r>
      <rPr>
        <sz val="10.5"/>
        <rFont val="ＭＳ Ｐゴシック"/>
        <family val="3"/>
        <charset val="128"/>
      </rPr>
      <t>[dBHz]</t>
    </r>
    <phoneticPr fontId="1"/>
  </si>
  <si>
    <r>
      <t>C/N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[dB]</t>
    </r>
    <phoneticPr fontId="1"/>
  </si>
  <si>
    <r>
      <t>(C/N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)</t>
    </r>
    <r>
      <rPr>
        <vertAlign val="subscript"/>
        <sz val="10.5"/>
        <rFont val="ＭＳ Ｐゴシック"/>
        <family val="3"/>
        <charset val="128"/>
      </rPr>
      <t>req</t>
    </r>
    <r>
      <rPr>
        <sz val="10.5"/>
        <rFont val="ＭＳ Ｐゴシック"/>
        <family val="3"/>
        <charset val="128"/>
      </rPr>
      <t>[dB]</t>
    </r>
    <phoneticPr fontId="1"/>
  </si>
  <si>
    <t>地球半径</t>
    <rPh sb="0" eb="2">
      <t>チキュウ</t>
    </rPh>
    <rPh sb="2" eb="4">
      <t>ハンケイ</t>
    </rPh>
    <phoneticPr fontId="1"/>
  </si>
  <si>
    <t>R[km]</t>
    <phoneticPr fontId="1"/>
  </si>
  <si>
    <r>
      <t>P</t>
    </r>
    <r>
      <rPr>
        <vertAlign val="subscript"/>
        <sz val="10.5"/>
        <rFont val="ＭＳ Ｐゴシック"/>
        <family val="3"/>
        <charset val="128"/>
      </rPr>
      <t>TX</t>
    </r>
    <r>
      <rPr>
        <sz val="10.5"/>
        <rFont val="ＭＳ Ｐゴシック"/>
        <family val="3"/>
        <charset val="128"/>
      </rPr>
      <t>[dBW]</t>
    </r>
    <phoneticPr fontId="1"/>
  </si>
  <si>
    <t>無視できる</t>
    <rPh sb="0" eb="2">
      <t>ムシ</t>
    </rPh>
    <phoneticPr fontId="1"/>
  </si>
  <si>
    <t>電波の伝播速度</t>
    <rPh sb="0" eb="2">
      <t>デンパ</t>
    </rPh>
    <rPh sb="3" eb="4">
      <t>デン</t>
    </rPh>
    <rPh sb="4" eb="5">
      <t>バン</t>
    </rPh>
    <rPh sb="5" eb="7">
      <t>ソクド</t>
    </rPh>
    <phoneticPr fontId="1"/>
  </si>
  <si>
    <t>c[m]</t>
    <phoneticPr fontId="1"/>
  </si>
  <si>
    <t>1GHz以上において適応</t>
    <rPh sb="4" eb="6">
      <t>イジョウ</t>
    </rPh>
    <rPh sb="10" eb="12">
      <t>テキオウ</t>
    </rPh>
    <phoneticPr fontId="1"/>
  </si>
  <si>
    <t>Sバンド以下ではほとんど無視</t>
    <rPh sb="4" eb="6">
      <t>イカ</t>
    </rPh>
    <rPh sb="12" eb="14">
      <t>ムシ</t>
    </rPh>
    <phoneticPr fontId="1"/>
  </si>
  <si>
    <t>円-直線偏波の場合</t>
    <rPh sb="0" eb="1">
      <t>エン</t>
    </rPh>
    <rPh sb="2" eb="4">
      <t>チョクセン</t>
    </rPh>
    <rPh sb="4" eb="6">
      <t>ヘンパ</t>
    </rPh>
    <rPh sb="7" eb="9">
      <t>バアイ</t>
    </rPh>
    <phoneticPr fontId="1"/>
  </si>
  <si>
    <t>通常設計上考慮しない</t>
    <rPh sb="0" eb="2">
      <t>ツウジョウ</t>
    </rPh>
    <rPh sb="2" eb="5">
      <t>セッケイジョウ</t>
    </rPh>
    <rPh sb="5" eb="7">
      <t>コウリョ</t>
    </rPh>
    <phoneticPr fontId="1"/>
  </si>
  <si>
    <t>給電損失</t>
    <rPh sb="0" eb="2">
      <t>キュウデン</t>
    </rPh>
    <rPh sb="2" eb="4">
      <t>ソンシツ</t>
    </rPh>
    <phoneticPr fontId="1"/>
  </si>
  <si>
    <t>L[-]</t>
    <phoneticPr fontId="1"/>
  </si>
  <si>
    <t>地表温度</t>
    <rPh sb="0" eb="2">
      <t>チヒョウ</t>
    </rPh>
    <rPh sb="2" eb="4">
      <t>オンド</t>
    </rPh>
    <phoneticPr fontId="1"/>
  </si>
  <si>
    <t>平均温度</t>
    <rPh sb="0" eb="2">
      <t>ヘイキン</t>
    </rPh>
    <rPh sb="2" eb="4">
      <t>オンド</t>
    </rPh>
    <phoneticPr fontId="1"/>
  </si>
  <si>
    <r>
      <t>T</t>
    </r>
    <r>
      <rPr>
        <vertAlign val="subscript"/>
        <sz val="10.5"/>
        <rFont val="ＭＳ Ｐゴシック"/>
        <family val="3"/>
        <charset val="128"/>
      </rPr>
      <t>G</t>
    </r>
    <r>
      <rPr>
        <sz val="10.5"/>
        <rFont val="ＭＳ Ｐゴシック"/>
        <family val="3"/>
        <charset val="128"/>
      </rPr>
      <t>[K]</t>
    </r>
    <phoneticPr fontId="1"/>
  </si>
  <si>
    <r>
      <t>T</t>
    </r>
    <r>
      <rPr>
        <vertAlign val="subscript"/>
        <sz val="10.5"/>
        <rFont val="ＭＳ Ｐゴシック"/>
        <family val="3"/>
        <charset val="128"/>
      </rPr>
      <t>m</t>
    </r>
    <r>
      <rPr>
        <sz val="10.5"/>
        <rFont val="ＭＳ Ｐゴシック"/>
        <family val="3"/>
        <charset val="128"/>
      </rPr>
      <t>[K]</t>
    </r>
    <phoneticPr fontId="1"/>
  </si>
  <si>
    <t>ボルツマン係数</t>
    <rPh sb="5" eb="7">
      <t>ケイスウ</t>
    </rPh>
    <phoneticPr fontId="1"/>
  </si>
  <si>
    <t>k[W/Hz･K]</t>
    <phoneticPr fontId="1"/>
  </si>
  <si>
    <t>B[kHz]</t>
    <phoneticPr fontId="1"/>
  </si>
  <si>
    <t>N[dB]</t>
    <phoneticPr fontId="1"/>
  </si>
  <si>
    <t>N[W]</t>
    <phoneticPr fontId="1"/>
  </si>
  <si>
    <t>G/T[dB/K]</t>
    <phoneticPr fontId="1"/>
  </si>
  <si>
    <t>この位でいい?</t>
    <rPh sb="2" eb="3">
      <t>クライ</t>
    </rPh>
    <phoneticPr fontId="1"/>
  </si>
  <si>
    <t>ビット誤り率</t>
    <rPh sb="3" eb="4">
      <t>アヤマ</t>
    </rPh>
    <rPh sb="5" eb="6">
      <t>リツ</t>
    </rPh>
    <phoneticPr fontId="1"/>
  </si>
  <si>
    <r>
      <t>P</t>
    </r>
    <r>
      <rPr>
        <vertAlign val="subscript"/>
        <sz val="10.5"/>
        <rFont val="ＭＳ Ｐゴシック"/>
        <family val="3"/>
        <charset val="128"/>
      </rPr>
      <t>b</t>
    </r>
    <phoneticPr fontId="1"/>
  </si>
  <si>
    <r>
      <t>(E</t>
    </r>
    <r>
      <rPr>
        <vertAlign val="subscript"/>
        <sz val="10.5"/>
        <rFont val="ＭＳ Ｐゴシック"/>
        <family val="3"/>
        <charset val="128"/>
      </rPr>
      <t>b</t>
    </r>
    <r>
      <rPr>
        <sz val="10.5"/>
        <rFont val="ＭＳ Ｐゴシック"/>
        <family val="3"/>
        <charset val="128"/>
      </rPr>
      <t>/N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)</t>
    </r>
    <r>
      <rPr>
        <vertAlign val="subscript"/>
        <sz val="10.5"/>
        <rFont val="ＭＳ Ｐゴシック"/>
        <family val="3"/>
        <charset val="128"/>
      </rPr>
      <t>req</t>
    </r>
    <r>
      <rPr>
        <sz val="10.5"/>
        <rFont val="ＭＳ Ｐゴシック"/>
        <family val="3"/>
        <charset val="128"/>
      </rPr>
      <t>[dB]</t>
    </r>
    <phoneticPr fontId="1"/>
  </si>
  <si>
    <t>回線マージン</t>
    <rPh sb="0" eb="2">
      <t>カイセン</t>
    </rPh>
    <phoneticPr fontId="1"/>
  </si>
  <si>
    <t>M</t>
    <phoneticPr fontId="1"/>
  </si>
  <si>
    <t>Downlink 1200bps</t>
    <phoneticPr fontId="1"/>
  </si>
  <si>
    <t>Downlink 9600bps</t>
    <phoneticPr fontId="1"/>
  </si>
  <si>
    <t xml:space="preserve">Uplink </t>
    <phoneticPr fontId="1"/>
  </si>
  <si>
    <t>FSK</t>
    <phoneticPr fontId="1"/>
  </si>
  <si>
    <t>GMSK</t>
    <phoneticPr fontId="1"/>
  </si>
  <si>
    <t>地上局</t>
    <rPh sb="0" eb="2">
      <t>チジョウ</t>
    </rPh>
    <rPh sb="2" eb="3">
      <t>キョク</t>
    </rPh>
    <phoneticPr fontId="1"/>
  </si>
  <si>
    <t>Downlink CW</t>
    <phoneticPr fontId="1"/>
  </si>
  <si>
    <t>地上局内伝送損失</t>
    <rPh sb="0" eb="2">
      <t>チジョウ</t>
    </rPh>
    <rPh sb="2" eb="4">
      <t>キョクナイ</t>
    </rPh>
    <rPh sb="4" eb="6">
      <t>デンソウ</t>
    </rPh>
    <rPh sb="6" eb="8">
      <t>ソンシツ</t>
    </rPh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</si>
  <si>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G</t>
    </r>
    <r>
      <rPr>
        <sz val="10.5"/>
        <rFont val="ＭＳ Ｐゴシック"/>
        <family val="3"/>
        <charset val="128"/>
      </rPr>
      <t>[dB]</t>
    </r>
    <phoneticPr fontId="1"/>
  </si>
  <si>
    <t>地上局処理時損失</t>
    <rPh sb="0" eb="3">
      <t>チジョウキョク</t>
    </rPh>
    <rPh sb="3" eb="5">
      <t>ショリ</t>
    </rPh>
    <rPh sb="5" eb="6">
      <t>ジ</t>
    </rPh>
    <rPh sb="6" eb="8">
      <t>ソンシツ</t>
    </rPh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</si>
  <si>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[dB]</t>
    </r>
    <phoneticPr fontId="1"/>
  </si>
  <si>
    <t>衛星</t>
    <rPh sb="0" eb="2">
      <t>エイセイ</t>
    </rPh>
    <phoneticPr fontId="1"/>
  </si>
  <si>
    <t>CW</t>
    <phoneticPr fontId="1"/>
  </si>
  <si>
    <t>Downlink 1200bps</t>
    <phoneticPr fontId="1"/>
  </si>
  <si>
    <t>AFSK</t>
    <phoneticPr fontId="1"/>
  </si>
  <si>
    <t>AFSK</t>
    <phoneticPr fontId="1"/>
  </si>
  <si>
    <t>伝播路長</t>
    <rPh sb="0" eb="1">
      <t>デン</t>
    </rPh>
    <rPh sb="1" eb="2">
      <t>バン</t>
    </rPh>
    <rPh sb="2" eb="3">
      <t>ロ</t>
    </rPh>
    <rPh sb="3" eb="4">
      <t>チョウ</t>
    </rPh>
    <phoneticPr fontId="1"/>
  </si>
  <si>
    <t>利得</t>
    <rPh sb="0" eb="2">
      <t>リトク</t>
    </rPh>
    <phoneticPr fontId="1"/>
  </si>
  <si>
    <t>地上局受信電力</t>
    <rPh sb="0" eb="3">
      <t>チジョウキョク</t>
    </rPh>
    <rPh sb="3" eb="5">
      <t>ジュシン</t>
    </rPh>
    <rPh sb="5" eb="7">
      <t>デンリョク</t>
    </rPh>
    <phoneticPr fontId="1"/>
  </si>
  <si>
    <t>[dB]</t>
    <phoneticPr fontId="1"/>
  </si>
  <si>
    <t>利得衛星の</t>
    <rPh sb="0" eb="2">
      <t>リトク</t>
    </rPh>
    <rPh sb="2" eb="4">
      <t>エイセイ</t>
    </rPh>
    <phoneticPr fontId="1"/>
  </si>
  <si>
    <t>受信ゲイン</t>
    <rPh sb="0" eb="2">
      <t>ジュシン</t>
    </rPh>
    <phoneticPr fontId="1"/>
  </si>
  <si>
    <t>G[dB]</t>
    <phoneticPr fontId="1"/>
  </si>
  <si>
    <t>G[dB]</t>
    <phoneticPr fontId="1"/>
  </si>
  <si>
    <t>衛星アンテナ</t>
    <rPh sb="0" eb="2">
      <t>エイセイ</t>
    </rPh>
    <phoneticPr fontId="1"/>
  </si>
  <si>
    <t>FSK</t>
    <phoneticPr fontId="1"/>
  </si>
  <si>
    <t>最大伝送距離</t>
    <rPh sb="0" eb="2">
      <t>サイダイ</t>
    </rPh>
    <rPh sb="2" eb="4">
      <t>デンソウ</t>
    </rPh>
    <rPh sb="4" eb="6">
      <t>キョリ</t>
    </rPh>
    <phoneticPr fontId="1"/>
  </si>
  <si>
    <t>D[km]</t>
    <phoneticPr fontId="1"/>
  </si>
  <si>
    <t>エレベーション角</t>
    <rPh sb="7" eb="8">
      <t>カク</t>
    </rPh>
    <phoneticPr fontId="1"/>
  </si>
  <si>
    <t>衛星送信機出力</t>
    <rPh sb="0" eb="2">
      <t>エイセイ</t>
    </rPh>
    <rPh sb="2" eb="5">
      <t>ソウシンキ</t>
    </rPh>
    <rPh sb="5" eb="7">
      <t>シュツリョク</t>
    </rPh>
    <phoneticPr fontId="1"/>
  </si>
  <si>
    <r>
      <t>P</t>
    </r>
    <r>
      <rPr>
        <vertAlign val="subscript"/>
        <sz val="10.5"/>
        <rFont val="ＭＳ Ｐゴシック"/>
        <family val="3"/>
        <charset val="128"/>
      </rPr>
      <t>t</t>
    </r>
    <r>
      <rPr>
        <sz val="10.5"/>
        <rFont val="ＭＳ Ｐゴシック"/>
        <family val="3"/>
        <charset val="128"/>
      </rPr>
      <t>[mW]</t>
    </r>
    <phoneticPr fontId="1"/>
  </si>
  <si>
    <t>衛星送信周波数</t>
    <rPh sb="0" eb="2">
      <t>エイセイ</t>
    </rPh>
    <rPh sb="2" eb="4">
      <t>ソウシン</t>
    </rPh>
    <rPh sb="4" eb="7">
      <t>シュウハスウ</t>
    </rPh>
    <phoneticPr fontId="1"/>
  </si>
  <si>
    <t>f[MHz]</t>
    <phoneticPr fontId="1"/>
  </si>
  <si>
    <t>送信波長</t>
    <rPh sb="0" eb="2">
      <t>ソウシン</t>
    </rPh>
    <rPh sb="2" eb="4">
      <t>ハチョウ</t>
    </rPh>
    <phoneticPr fontId="1"/>
  </si>
  <si>
    <t>λ</t>
    <phoneticPr fontId="1"/>
  </si>
  <si>
    <t>衛星送信機給電損失</t>
    <rPh sb="0" eb="2">
      <t>エイセイ</t>
    </rPh>
    <rPh sb="2" eb="5">
      <t>ソウシンキ</t>
    </rPh>
    <rPh sb="5" eb="7">
      <t>キュウデン</t>
    </rPh>
    <rPh sb="7" eb="9">
      <t>ソンシツ</t>
    </rPh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</si>
  <si>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t</t>
    </r>
    <r>
      <rPr>
        <sz val="11"/>
        <rFont val="ＭＳ Ｐゴシック"/>
        <family val="3"/>
        <charset val="128"/>
      </rPr>
      <t>[dB]</t>
    </r>
    <phoneticPr fontId="1"/>
  </si>
  <si>
    <t>衛星送信アンテナゲイン</t>
    <rPh sb="0" eb="2">
      <t>エイセイ</t>
    </rPh>
    <rPh sb="2" eb="4">
      <t>ソウシン</t>
    </rPh>
    <phoneticPr fontId="1"/>
  </si>
  <si>
    <r>
      <t>G</t>
    </r>
    <r>
      <rPr>
        <vertAlign val="subscript"/>
        <sz val="10.5"/>
        <rFont val="ＭＳ Ｐゴシック"/>
        <family val="3"/>
        <charset val="128"/>
      </rPr>
      <t>t</t>
    </r>
    <r>
      <rPr>
        <sz val="11"/>
        <rFont val="ＭＳ Ｐゴシック"/>
        <family val="3"/>
        <charset val="128"/>
      </rPr>
      <t>[dB]</t>
    </r>
    <phoneticPr fontId="1"/>
  </si>
  <si>
    <t>衛星実効放射電力EIRP</t>
    <rPh sb="0" eb="2">
      <t>エイセイ</t>
    </rPh>
    <rPh sb="2" eb="4">
      <t>ジッコウ</t>
    </rPh>
    <rPh sb="4" eb="6">
      <t>ホウシャ</t>
    </rPh>
    <rPh sb="6" eb="8">
      <t>デンリョク</t>
    </rPh>
    <phoneticPr fontId="1"/>
  </si>
  <si>
    <r>
      <t>P</t>
    </r>
    <r>
      <rPr>
        <vertAlign val="subscript"/>
        <sz val="10.5"/>
        <rFont val="ＭＳ Ｐゴシック"/>
        <family val="3"/>
        <charset val="128"/>
      </rPr>
      <t>E</t>
    </r>
    <r>
      <rPr>
        <sz val="11"/>
        <rFont val="ＭＳ Ｐゴシック"/>
        <family val="3"/>
        <charset val="128"/>
      </rPr>
      <t>[dBW]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</si>
  <si>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d</t>
    </r>
    <r>
      <rPr>
        <sz val="11"/>
        <rFont val="ＭＳ Ｐゴシック"/>
        <family val="3"/>
        <charset val="128"/>
      </rPr>
      <t>[dB]</t>
    </r>
    <phoneticPr fontId="1"/>
  </si>
  <si>
    <t>偏波損失</t>
    <rPh sb="0" eb="1">
      <t>ヘン</t>
    </rPh>
    <rPh sb="1" eb="2">
      <t>パ</t>
    </rPh>
    <rPh sb="2" eb="4">
      <t>ソンシツ</t>
    </rPh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</si>
  <si>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P</t>
    </r>
    <r>
      <rPr>
        <sz val="11"/>
        <rFont val="ＭＳ Ｐゴシック"/>
        <family val="3"/>
        <charset val="128"/>
      </rPr>
      <t>[dB]</t>
    </r>
    <phoneticPr fontId="1"/>
  </si>
  <si>
    <t>大気吸収損失</t>
    <rPh sb="0" eb="2">
      <t>タイキ</t>
    </rPh>
    <rPh sb="2" eb="4">
      <t>キュウシュウ</t>
    </rPh>
    <rPh sb="4" eb="6">
      <t>ソンシツ</t>
    </rPh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</si>
  <si>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A</t>
    </r>
    <r>
      <rPr>
        <sz val="11"/>
        <rFont val="ＭＳ Ｐゴシック"/>
        <family val="3"/>
        <charset val="128"/>
      </rPr>
      <t>[dB]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</si>
  <si>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RA</t>
    </r>
    <r>
      <rPr>
        <sz val="11"/>
        <rFont val="ＭＳ Ｐゴシック"/>
        <family val="3"/>
        <charset val="128"/>
      </rPr>
      <t>[dB]</t>
    </r>
    <phoneticPr fontId="1"/>
  </si>
  <si>
    <t>伝送時損失</t>
    <rPh sb="0" eb="2">
      <t>デンソウ</t>
    </rPh>
    <rPh sb="2" eb="3">
      <t>ジ</t>
    </rPh>
    <rPh sb="3" eb="5">
      <t>ソンシツ</t>
    </rPh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</si>
  <si>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v</t>
    </r>
    <r>
      <rPr>
        <sz val="11"/>
        <rFont val="ＭＳ Ｐゴシック"/>
        <family val="3"/>
        <charset val="128"/>
      </rPr>
      <t>[dB]</t>
    </r>
    <phoneticPr fontId="1"/>
  </si>
  <si>
    <t>地上局アンテナ</t>
    <rPh sb="0" eb="2">
      <t>チジョウ</t>
    </rPh>
    <rPh sb="2" eb="3">
      <t>キョク</t>
    </rPh>
    <phoneticPr fontId="1"/>
  </si>
  <si>
    <t>地上局ポインティング損失</t>
    <rPh sb="0" eb="2">
      <t>チジョウ</t>
    </rPh>
    <rPh sb="2" eb="3">
      <t>キョク</t>
    </rPh>
    <rPh sb="10" eb="12">
      <t>ソンシツ</t>
    </rPh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</si>
  <si>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p</t>
    </r>
    <phoneticPr fontId="1"/>
  </si>
  <si>
    <t>地上局受信アンテナゲイン</t>
    <rPh sb="3" eb="5">
      <t>ジュシン</t>
    </rPh>
    <phoneticPr fontId="1"/>
  </si>
  <si>
    <r>
      <t>G</t>
    </r>
    <r>
      <rPr>
        <vertAlign val="subscript"/>
        <sz val="10.5"/>
        <rFont val="ＭＳ Ｐゴシック"/>
        <family val="3"/>
        <charset val="128"/>
      </rPr>
      <t>r</t>
    </r>
    <r>
      <rPr>
        <sz val="10.5"/>
        <rFont val="ＭＳ Ｐゴシック"/>
        <family val="3"/>
        <charset val="128"/>
      </rPr>
      <t>[dBi]</t>
    </r>
    <phoneticPr fontId="1"/>
  </si>
  <si>
    <t>地上局受信機給電損失</t>
    <rPh sb="3" eb="6">
      <t>ジュシンキ</t>
    </rPh>
    <rPh sb="6" eb="8">
      <t>キュウデン</t>
    </rPh>
    <rPh sb="8" eb="10">
      <t>ソンシツ</t>
    </rPh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</si>
  <si>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r</t>
    </r>
    <r>
      <rPr>
        <sz val="10.5"/>
        <rFont val="ＭＳ Ｐゴシック"/>
        <family val="3"/>
        <charset val="128"/>
      </rPr>
      <t>[dB]</t>
    </r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</si>
  <si>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r</t>
    </r>
    <r>
      <rPr>
        <sz val="10.5"/>
        <rFont val="ＭＳ Ｐゴシック"/>
        <family val="3"/>
        <charset val="128"/>
      </rPr>
      <t>[</t>
    </r>
    <r>
      <rPr>
        <sz val="11"/>
        <rFont val="ＭＳ Ｐゴシック"/>
        <family val="3"/>
        <charset val="128"/>
      </rPr>
      <t>-</t>
    </r>
    <r>
      <rPr>
        <sz val="10.5"/>
        <rFont val="ＭＳ Ｐゴシック"/>
        <family val="3"/>
        <charset val="128"/>
      </rPr>
      <t>]</t>
    </r>
    <phoneticPr fontId="1"/>
  </si>
  <si>
    <t>地上局アンテナ受信雑音･温度</t>
    <rPh sb="7" eb="9">
      <t>ジュシン</t>
    </rPh>
    <rPh sb="9" eb="11">
      <t>ザツオン</t>
    </rPh>
    <rPh sb="12" eb="14">
      <t>オンド</t>
    </rPh>
    <phoneticPr fontId="1"/>
  </si>
  <si>
    <r>
      <t>T</t>
    </r>
    <r>
      <rPr>
        <vertAlign val="subscript"/>
        <sz val="10.5"/>
        <rFont val="ＭＳ Ｐゴシック"/>
        <family val="3"/>
        <charset val="128"/>
      </rPr>
      <t>a</t>
    </r>
    <r>
      <rPr>
        <sz val="11"/>
        <rFont val="ＭＳ Ｐゴシック"/>
        <family val="3"/>
        <charset val="128"/>
      </rPr>
      <t>[K]</t>
    </r>
    <phoneticPr fontId="1"/>
  </si>
  <si>
    <t>地上局環境雑音･温度</t>
    <rPh sb="0" eb="2">
      <t>チジョウ</t>
    </rPh>
    <rPh sb="2" eb="3">
      <t>キョク</t>
    </rPh>
    <rPh sb="3" eb="5">
      <t>カンキョウ</t>
    </rPh>
    <rPh sb="5" eb="7">
      <t>ザツオン</t>
    </rPh>
    <rPh sb="8" eb="10">
      <t>オンド</t>
    </rPh>
    <phoneticPr fontId="1"/>
  </si>
  <si>
    <r>
      <t>T</t>
    </r>
    <r>
      <rPr>
        <vertAlign val="subscript"/>
        <sz val="10.5"/>
        <rFont val="ＭＳ Ｐゴシック"/>
        <family val="3"/>
        <charset val="128"/>
      </rPr>
      <t>e</t>
    </r>
    <r>
      <rPr>
        <sz val="11"/>
        <rFont val="ＭＳ Ｐゴシック"/>
        <family val="3"/>
        <charset val="128"/>
      </rPr>
      <t>[K]</t>
    </r>
    <phoneticPr fontId="1"/>
  </si>
  <si>
    <t>地上局温度</t>
    <rPh sb="0" eb="2">
      <t>チジョウ</t>
    </rPh>
    <rPh sb="2" eb="3">
      <t>キョク</t>
    </rPh>
    <rPh sb="3" eb="5">
      <t>オンド</t>
    </rPh>
    <phoneticPr fontId="1"/>
  </si>
  <si>
    <r>
      <t>T</t>
    </r>
    <r>
      <rPr>
        <vertAlign val="subscript"/>
        <sz val="10.5"/>
        <rFont val="ＭＳ Ｐゴシック"/>
        <family val="3"/>
        <charset val="128"/>
      </rPr>
      <t>G</t>
    </r>
    <r>
      <rPr>
        <sz val="11"/>
        <rFont val="ＭＳ Ｐゴシック"/>
        <family val="3"/>
        <charset val="128"/>
      </rPr>
      <t>[K]</t>
    </r>
    <phoneticPr fontId="1"/>
  </si>
  <si>
    <t>NF[-]</t>
    <phoneticPr fontId="1"/>
  </si>
  <si>
    <t>NF[dB]</t>
    <phoneticPr fontId="1"/>
  </si>
  <si>
    <t>B[kHz]</t>
    <phoneticPr fontId="1"/>
  </si>
  <si>
    <t>ボルツマン定数</t>
    <rPh sb="5" eb="7">
      <t>テイスウ</t>
    </rPh>
    <phoneticPr fontId="1"/>
  </si>
  <si>
    <t>K</t>
    <phoneticPr fontId="1"/>
  </si>
  <si>
    <t>地上局受信システム雑音温度</t>
    <rPh sb="0" eb="2">
      <t>チジョウ</t>
    </rPh>
    <rPh sb="2" eb="3">
      <t>キョク</t>
    </rPh>
    <rPh sb="3" eb="5">
      <t>ジュシン</t>
    </rPh>
    <rPh sb="9" eb="11">
      <t>ザツオン</t>
    </rPh>
    <rPh sb="11" eb="13">
      <t>オンド</t>
    </rPh>
    <phoneticPr fontId="1"/>
  </si>
  <si>
    <r>
      <t>T</t>
    </r>
    <r>
      <rPr>
        <vertAlign val="subscript"/>
        <sz val="10.5"/>
        <rFont val="ＭＳ Ｐゴシック"/>
        <family val="3"/>
        <charset val="128"/>
      </rPr>
      <t>sys</t>
    </r>
    <r>
      <rPr>
        <sz val="11"/>
        <rFont val="ＭＳ Ｐゴシック"/>
        <family val="3"/>
        <charset val="128"/>
      </rPr>
      <t>[dB]</t>
    </r>
    <phoneticPr fontId="1"/>
  </si>
  <si>
    <t>G[dB]</t>
    <phoneticPr fontId="1"/>
  </si>
  <si>
    <t>受信G／T</t>
    <rPh sb="0" eb="2">
      <t>ジュシン</t>
    </rPh>
    <phoneticPr fontId="1"/>
  </si>
  <si>
    <t>G/T[dB]</t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</si>
  <si>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b</t>
    </r>
    <r>
      <rPr>
        <sz val="11"/>
        <rFont val="ＭＳ Ｐゴシック"/>
        <family val="3"/>
        <charset val="128"/>
      </rPr>
      <t>[dB]</t>
    </r>
    <phoneticPr fontId="1"/>
  </si>
  <si>
    <t>地上局内伝送損失</t>
    <rPh sb="0" eb="2">
      <t>チジョウ</t>
    </rPh>
    <rPh sb="2" eb="3">
      <t>キョク</t>
    </rPh>
    <rPh sb="3" eb="4">
      <t>ナイ</t>
    </rPh>
    <rPh sb="4" eb="6">
      <t>デンソウ</t>
    </rPh>
    <rPh sb="6" eb="8">
      <t>ソンシツ</t>
    </rPh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</si>
  <si>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g</t>
    </r>
    <r>
      <rPr>
        <sz val="11"/>
        <rFont val="ＭＳ Ｐゴシック"/>
        <family val="3"/>
        <charset val="128"/>
      </rPr>
      <t>[dB]</t>
    </r>
    <phoneticPr fontId="1"/>
  </si>
  <si>
    <t>地上局処理時損失</t>
    <rPh sb="0" eb="2">
      <t>チジョウ</t>
    </rPh>
    <rPh sb="2" eb="3">
      <t>キョク</t>
    </rPh>
    <rPh sb="3" eb="5">
      <t>ショリ</t>
    </rPh>
    <rPh sb="5" eb="6">
      <t>ジ</t>
    </rPh>
    <rPh sb="6" eb="8">
      <t>ソンシツ</t>
    </rPh>
    <phoneticPr fontId="1"/>
  </si>
  <si>
    <r>
      <t>L</t>
    </r>
    <r>
      <rPr>
        <vertAlign val="subscript"/>
        <sz val="10.5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[dB]</t>
    </r>
    <phoneticPr fontId="1"/>
  </si>
  <si>
    <t>地上局受信電力</t>
    <rPh sb="0" eb="2">
      <t>チジョウ</t>
    </rPh>
    <rPh sb="2" eb="3">
      <t>キョク</t>
    </rPh>
    <rPh sb="3" eb="5">
      <t>ジュシン</t>
    </rPh>
    <rPh sb="5" eb="7">
      <t>デンリョク</t>
    </rPh>
    <phoneticPr fontId="1"/>
  </si>
  <si>
    <t>C[dB]</t>
    <phoneticPr fontId="1"/>
  </si>
  <si>
    <r>
      <t>N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[dB]</t>
    </r>
    <phoneticPr fontId="1"/>
  </si>
  <si>
    <t>N[dB]</t>
    <phoneticPr fontId="1"/>
  </si>
  <si>
    <t>受信電力／雑音電力比</t>
    <rPh sb="0" eb="2">
      <t>ジュシン</t>
    </rPh>
    <rPh sb="2" eb="4">
      <t>デンリョク</t>
    </rPh>
    <rPh sb="5" eb="7">
      <t>ザツオン</t>
    </rPh>
    <rPh sb="7" eb="9">
      <t>デンリョク</t>
    </rPh>
    <rPh sb="9" eb="10">
      <t>ヒ</t>
    </rPh>
    <phoneticPr fontId="1"/>
  </si>
  <si>
    <r>
      <t>C/N</t>
    </r>
    <r>
      <rPr>
        <vertAlign val="subscript"/>
        <sz val="10.5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[dB]</t>
    </r>
    <phoneticPr fontId="1"/>
  </si>
  <si>
    <t>受信信号／雑音電力比</t>
    <rPh sb="0" eb="2">
      <t>ジュシン</t>
    </rPh>
    <rPh sb="2" eb="4">
      <t>シンゴウ</t>
    </rPh>
    <rPh sb="5" eb="7">
      <t>ザツオン</t>
    </rPh>
    <rPh sb="7" eb="9">
      <t>デンリョク</t>
    </rPh>
    <rPh sb="9" eb="10">
      <t>ヒ</t>
    </rPh>
    <phoneticPr fontId="1"/>
  </si>
  <si>
    <r>
      <t>S/N</t>
    </r>
    <r>
      <rPr>
        <vertAlign val="subscript"/>
        <sz val="10.5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[dB]</t>
    </r>
    <phoneticPr fontId="1"/>
  </si>
  <si>
    <t>要求ビット誤り率</t>
    <rPh sb="0" eb="2">
      <t>ヨウキュウ</t>
    </rPh>
    <rPh sb="5" eb="6">
      <t>アヤマ</t>
    </rPh>
    <rPh sb="7" eb="8">
      <t>リツ</t>
    </rPh>
    <phoneticPr fontId="1"/>
  </si>
  <si>
    <r>
      <t>P</t>
    </r>
    <r>
      <rPr>
        <vertAlign val="subscript"/>
        <sz val="10.5"/>
        <rFont val="ＭＳ Ｐゴシック"/>
        <family val="3"/>
        <charset val="128"/>
      </rPr>
      <t>b</t>
    </r>
    <phoneticPr fontId="1"/>
  </si>
  <si>
    <t>要求Eb／N0</t>
    <rPh sb="0" eb="2">
      <t>ヨウキュウ</t>
    </rPh>
    <phoneticPr fontId="1"/>
  </si>
  <si>
    <r>
      <t>Eb/N</t>
    </r>
    <r>
      <rPr>
        <vertAlign val="subscript"/>
        <sz val="10.5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[dB]</t>
    </r>
    <phoneticPr fontId="1"/>
  </si>
  <si>
    <t>計算衛星送信ｂｐｓ</t>
    <rPh sb="0" eb="2">
      <t>ケイサン</t>
    </rPh>
    <rPh sb="2" eb="4">
      <t>エイセイ</t>
    </rPh>
    <rPh sb="4" eb="6">
      <t>ソウシン</t>
    </rPh>
    <phoneticPr fontId="1"/>
  </si>
  <si>
    <t>要求C／N0</t>
    <rPh sb="0" eb="2">
      <t>ヨウキュウ</t>
    </rPh>
    <phoneticPr fontId="1"/>
  </si>
  <si>
    <r>
      <t>C/N</t>
    </r>
    <r>
      <rPr>
        <vertAlign val="subscript"/>
        <sz val="10.5"/>
        <rFont val="ＭＳ Ｐゴシック"/>
        <family val="3"/>
        <charset val="128"/>
      </rPr>
      <t>0req</t>
    </r>
    <r>
      <rPr>
        <sz val="11"/>
        <rFont val="ＭＳ Ｐゴシック"/>
        <family val="3"/>
        <charset val="128"/>
      </rPr>
      <t>[dB]</t>
    </r>
    <phoneticPr fontId="1"/>
  </si>
  <si>
    <t>マージン</t>
    <phoneticPr fontId="1"/>
  </si>
  <si>
    <t>M</t>
    <phoneticPr fontId="1"/>
  </si>
  <si>
    <t>downlink</t>
    <phoneticPr fontId="1"/>
  </si>
  <si>
    <t>θ[deg]</t>
    <phoneticPr fontId="1"/>
  </si>
  <si>
    <t>AFSK</t>
    <phoneticPr fontId="1"/>
  </si>
  <si>
    <t>注）uplinkに関しては日大地上局
のままである</t>
    <rPh sb="0" eb="1">
      <t>チュウ</t>
    </rPh>
    <rPh sb="9" eb="10">
      <t>カン</t>
    </rPh>
    <rPh sb="13" eb="15">
      <t>ニチダイ</t>
    </rPh>
    <rPh sb="15" eb="18">
      <t>チジョウキョク</t>
    </rPh>
    <phoneticPr fontId="1"/>
  </si>
  <si>
    <t>For mission</t>
    <phoneticPr fontId="1"/>
  </si>
  <si>
    <t>地上局アンテナ</t>
    <rPh sb="0" eb="3">
      <t>チジョウキョク</t>
    </rPh>
    <phoneticPr fontId="1"/>
  </si>
  <si>
    <t>クロス八木アンテナ</t>
    <rPh sb="3" eb="5">
      <t>ヤギ</t>
    </rPh>
    <phoneticPr fontId="1"/>
  </si>
  <si>
    <t>モノポールアンテナ</t>
    <phoneticPr fontId="1"/>
  </si>
  <si>
    <t>モノポールアンテナ</t>
    <phoneticPr fontId="1"/>
  </si>
  <si>
    <t>Modulation Method</t>
    <phoneticPr fontId="1"/>
  </si>
  <si>
    <t>Satellite Antenna</t>
    <phoneticPr fontId="1"/>
  </si>
  <si>
    <t>Orbit Altitude</t>
    <phoneticPr fontId="1"/>
  </si>
  <si>
    <t>Earth Radius</t>
    <phoneticPr fontId="1"/>
  </si>
  <si>
    <t>E.levation Angle</t>
    <phoneticPr fontId="1"/>
  </si>
  <si>
    <t>Visible Limit Angle</t>
    <phoneticPr fontId="1"/>
  </si>
  <si>
    <t>Maximun Transmission Distance</t>
  </si>
  <si>
    <t>Maximun Transmission Speed</t>
    <phoneticPr fontId="1"/>
  </si>
  <si>
    <t>Satellite</t>
    <phoneticPr fontId="1"/>
  </si>
  <si>
    <t>Transmitter Power</t>
    <phoneticPr fontId="1"/>
  </si>
  <si>
    <t>Received Signal Power</t>
    <phoneticPr fontId="1"/>
  </si>
  <si>
    <t>Noise Factor</t>
    <phoneticPr fontId="1"/>
  </si>
  <si>
    <t>Ground Temperature</t>
    <phoneticPr fontId="1"/>
  </si>
  <si>
    <t>Average Temperature</t>
    <phoneticPr fontId="1"/>
  </si>
  <si>
    <t>Maximun Signal Pass Bandwidth</t>
    <phoneticPr fontId="1"/>
  </si>
  <si>
    <t>Noise Power</t>
    <phoneticPr fontId="1"/>
  </si>
  <si>
    <t>Noise Power density</t>
    <phoneticPr fontId="1"/>
  </si>
  <si>
    <t>Receiving Gain</t>
    <phoneticPr fontId="1"/>
  </si>
  <si>
    <t>Receive G/T</t>
    <phoneticPr fontId="1"/>
  </si>
  <si>
    <t>Receiver Noise Temperature</t>
    <phoneticPr fontId="1"/>
  </si>
  <si>
    <t>Internal Ground Station Transmission Loss</t>
  </si>
  <si>
    <t>Bit Rate</t>
    <phoneticPr fontId="1"/>
  </si>
  <si>
    <t>Bit Error Rate</t>
    <phoneticPr fontId="1"/>
  </si>
  <si>
    <t>M[dB]</t>
  </si>
  <si>
    <t>M[dB]</t>
    <phoneticPr fontId="1"/>
  </si>
  <si>
    <t>Margin</t>
    <phoneticPr fontId="1"/>
  </si>
  <si>
    <t>For Amateur Radio Servise</t>
    <phoneticPr fontId="1"/>
  </si>
  <si>
    <t>Ground Station System Noise Temperature</t>
    <phoneticPr fontId="1"/>
  </si>
  <si>
    <t>StelliteSystem Noise Temperature</t>
    <phoneticPr fontId="1"/>
  </si>
  <si>
    <t>Satellite System Noise Temperature</t>
    <phoneticPr fontId="1"/>
  </si>
  <si>
    <t>Satellite Temperature</t>
    <phoneticPr fontId="1"/>
  </si>
  <si>
    <t>受信アンテナ</t>
    <rPh sb="0" eb="2">
      <t>ジュシン</t>
    </rPh>
    <phoneticPr fontId="1"/>
  </si>
  <si>
    <t>Cross Yagi Anntena 2 stack</t>
    <phoneticPr fontId="1"/>
  </si>
  <si>
    <t>Cross Yagi Anntena 1 stack</t>
    <phoneticPr fontId="1"/>
  </si>
  <si>
    <t>Downlink (FM)</t>
    <phoneticPr fontId="1"/>
  </si>
  <si>
    <t>Downlink 9600bps</t>
    <phoneticPr fontId="1"/>
  </si>
  <si>
    <t>Downlink CW</t>
    <phoneticPr fontId="1"/>
  </si>
  <si>
    <t xml:space="preserve">Uplink </t>
    <phoneticPr fontId="1"/>
  </si>
  <si>
    <t>Downlink (AFSK)</t>
    <phoneticPr fontId="1"/>
  </si>
  <si>
    <t>Downlink (GMSK)</t>
    <phoneticPr fontId="1"/>
  </si>
  <si>
    <t>Downlink (CW)</t>
    <phoneticPr fontId="1"/>
  </si>
  <si>
    <t>Uplink (FM)</t>
    <phoneticPr fontId="1"/>
  </si>
  <si>
    <t>GMSK</t>
    <phoneticPr fontId="1"/>
  </si>
  <si>
    <t>Mono-Pole Antenna</t>
    <phoneticPr fontId="1"/>
  </si>
  <si>
    <t>R[km]</t>
    <phoneticPr fontId="1"/>
  </si>
  <si>
    <t>c[m]</t>
    <phoneticPr fontId="1"/>
  </si>
  <si>
    <t>Boltzmann Constant</t>
    <phoneticPr fontId="1"/>
  </si>
  <si>
    <t>Ground Station</t>
    <phoneticPr fontId="1"/>
  </si>
  <si>
    <t>Transmission Frequency</t>
    <phoneticPr fontId="1"/>
  </si>
  <si>
    <t>Transmitter Feeding Power Loss</t>
    <phoneticPr fontId="1"/>
  </si>
  <si>
    <t>Transmission Antenna Gain</t>
    <phoneticPr fontId="1"/>
  </si>
  <si>
    <t>Effective Isotropically Radiated Power</t>
    <phoneticPr fontId="1"/>
  </si>
  <si>
    <t>Transmission Antenna Pointing Loss</t>
    <phoneticPr fontId="1"/>
  </si>
  <si>
    <t xml:space="preserve">Characteristic Transmission </t>
    <phoneticPr fontId="1"/>
  </si>
  <si>
    <t>Free Space Loss</t>
    <phoneticPr fontId="1"/>
  </si>
  <si>
    <t>Polarized Wave Loss</t>
    <phoneticPr fontId="1"/>
  </si>
  <si>
    <t>Atmospheric Absorption Loss</t>
    <phoneticPr fontId="1"/>
  </si>
  <si>
    <t>Rain Loss</t>
    <phoneticPr fontId="1"/>
  </si>
  <si>
    <t>Various Loss</t>
    <phoneticPr fontId="1"/>
  </si>
  <si>
    <t>Total Transmission Loss</t>
    <phoneticPr fontId="1"/>
  </si>
  <si>
    <t>Ground Station Antenna</t>
    <phoneticPr fontId="1"/>
  </si>
  <si>
    <t>ReceivedAntenna Pointing Loss</t>
    <phoneticPr fontId="1"/>
  </si>
  <si>
    <t>Received Antenna Gain</t>
    <phoneticPr fontId="1"/>
  </si>
  <si>
    <t>L[-]</t>
    <phoneticPr fontId="1"/>
  </si>
  <si>
    <t>Antenna Noise Temperature</t>
    <phoneticPr fontId="1"/>
  </si>
  <si>
    <t>Feeding Power Line Noise Temperature</t>
    <phoneticPr fontId="1"/>
  </si>
  <si>
    <t>？</t>
    <phoneticPr fontId="1"/>
  </si>
  <si>
    <t>Ground Station Temperature</t>
    <phoneticPr fontId="1"/>
  </si>
  <si>
    <t>Sky Noise Temperature Increase</t>
    <phoneticPr fontId="1"/>
  </si>
  <si>
    <t>B[kHz]</t>
    <phoneticPr fontId="1"/>
  </si>
  <si>
    <t>N[W]</t>
    <phoneticPr fontId="1"/>
  </si>
  <si>
    <t>N[dB]</t>
    <phoneticPr fontId="1"/>
  </si>
  <si>
    <t>G[dB]</t>
    <phoneticPr fontId="1"/>
  </si>
  <si>
    <t>G/T[dB/K]</t>
    <phoneticPr fontId="1"/>
  </si>
  <si>
    <t>Demodulation Loss</t>
    <phoneticPr fontId="1"/>
  </si>
  <si>
    <t>Ground Station Processing Loss</t>
    <phoneticPr fontId="1"/>
  </si>
  <si>
    <t xml:space="preserve">Note)The parameter of uplinki is a Nihonn University Ground Station. 
</t>
    <phoneticPr fontId="1"/>
  </si>
  <si>
    <r>
      <t>θ</t>
    </r>
    <r>
      <rPr>
        <vertAlign val="subscript"/>
        <sz val="10"/>
        <rFont val="Arial"/>
        <family val="2"/>
      </rPr>
      <t>EL</t>
    </r>
    <r>
      <rPr>
        <sz val="10"/>
        <rFont val="Arial"/>
        <family val="2"/>
      </rPr>
      <t>[deg]</t>
    </r>
    <phoneticPr fontId="1"/>
  </si>
  <si>
    <r>
      <t>θ</t>
    </r>
    <r>
      <rPr>
        <vertAlign val="subscript"/>
        <sz val="10"/>
        <rFont val="Arial"/>
        <family val="2"/>
      </rPr>
      <t>EL</t>
    </r>
    <r>
      <rPr>
        <sz val="10"/>
        <rFont val="Arial"/>
        <family val="2"/>
      </rPr>
      <t>[rad]</t>
    </r>
    <phoneticPr fontId="1"/>
  </si>
  <si>
    <r>
      <t>P</t>
    </r>
    <r>
      <rPr>
        <vertAlign val="subscript"/>
        <sz val="10"/>
        <rFont val="Arial"/>
        <family val="2"/>
      </rPr>
      <t>TX</t>
    </r>
    <r>
      <rPr>
        <sz val="10"/>
        <rFont val="Arial"/>
        <family val="2"/>
      </rPr>
      <t>[W]</t>
    </r>
    <phoneticPr fontId="1"/>
  </si>
  <si>
    <r>
      <t>P</t>
    </r>
    <r>
      <rPr>
        <vertAlign val="subscript"/>
        <sz val="10"/>
        <rFont val="Arial"/>
        <family val="2"/>
      </rPr>
      <t>TX</t>
    </r>
    <r>
      <rPr>
        <sz val="10"/>
        <rFont val="Arial"/>
        <family val="2"/>
      </rPr>
      <t>[dBW]</t>
    </r>
    <phoneticPr fontId="1"/>
  </si>
  <si>
    <r>
      <t>L</t>
    </r>
    <r>
      <rPr>
        <vertAlign val="subscript"/>
        <sz val="10"/>
        <rFont val="Arial"/>
        <family val="2"/>
      </rPr>
      <t>FTX</t>
    </r>
    <r>
      <rPr>
        <sz val="10"/>
        <rFont val="Arial"/>
        <family val="2"/>
      </rPr>
      <t>[dB]</t>
    </r>
    <phoneticPr fontId="1"/>
  </si>
  <si>
    <r>
      <t>G</t>
    </r>
    <r>
      <rPr>
        <vertAlign val="subscript"/>
        <sz val="10"/>
        <rFont val="Arial"/>
        <family val="2"/>
      </rPr>
      <t>ATX</t>
    </r>
    <r>
      <rPr>
        <sz val="10"/>
        <rFont val="Arial"/>
        <family val="2"/>
      </rPr>
      <t>[dB]</t>
    </r>
    <phoneticPr fontId="1"/>
  </si>
  <si>
    <r>
      <t>P</t>
    </r>
    <r>
      <rPr>
        <vertAlign val="subscript"/>
        <sz val="10"/>
        <rFont val="Arial"/>
        <family val="2"/>
      </rPr>
      <t>E</t>
    </r>
    <r>
      <rPr>
        <sz val="10"/>
        <rFont val="Arial"/>
        <family val="2"/>
      </rPr>
      <t>[dBW]</t>
    </r>
    <phoneticPr fontId="1"/>
  </si>
  <si>
    <r>
      <t>L</t>
    </r>
    <r>
      <rPr>
        <vertAlign val="subscript"/>
        <sz val="10"/>
        <rFont val="Arial"/>
        <family val="2"/>
      </rPr>
      <t>APt</t>
    </r>
    <r>
      <rPr>
        <sz val="10"/>
        <rFont val="Arial"/>
        <family val="2"/>
      </rPr>
      <t>[dB]</t>
    </r>
    <phoneticPr fontId="1"/>
  </si>
  <si>
    <r>
      <t>L</t>
    </r>
    <r>
      <rPr>
        <vertAlign val="subscript"/>
        <sz val="10"/>
        <rFont val="Arial"/>
        <family val="2"/>
      </rPr>
      <t>d</t>
    </r>
    <r>
      <rPr>
        <sz val="10"/>
        <rFont val="Arial"/>
        <family val="2"/>
      </rPr>
      <t>[dB]</t>
    </r>
    <phoneticPr fontId="1"/>
  </si>
  <si>
    <r>
      <t>L</t>
    </r>
    <r>
      <rPr>
        <vertAlign val="subscript"/>
        <sz val="10"/>
        <rFont val="Arial"/>
        <family val="2"/>
      </rPr>
      <t>P</t>
    </r>
    <r>
      <rPr>
        <sz val="10"/>
        <rFont val="Arial"/>
        <family val="2"/>
      </rPr>
      <t>[dB]</t>
    </r>
    <phoneticPr fontId="1"/>
  </si>
  <si>
    <r>
      <t>L</t>
    </r>
    <r>
      <rPr>
        <vertAlign val="subscript"/>
        <sz val="10"/>
        <rFont val="Arial"/>
        <family val="2"/>
      </rPr>
      <t>A</t>
    </r>
    <r>
      <rPr>
        <sz val="10"/>
        <rFont val="Arial"/>
        <family val="2"/>
      </rPr>
      <t>[dB]</t>
    </r>
    <phoneticPr fontId="1"/>
  </si>
  <si>
    <r>
      <t>L</t>
    </r>
    <r>
      <rPr>
        <vertAlign val="subscript"/>
        <sz val="10"/>
        <rFont val="Arial"/>
        <family val="2"/>
      </rPr>
      <t>RA</t>
    </r>
    <r>
      <rPr>
        <sz val="10"/>
        <rFont val="Arial"/>
        <family val="2"/>
      </rPr>
      <t>[dB]</t>
    </r>
    <phoneticPr fontId="1"/>
  </si>
  <si>
    <r>
      <t>L</t>
    </r>
    <r>
      <rPr>
        <vertAlign val="subscript"/>
        <sz val="10"/>
        <rFont val="Arial"/>
        <family val="2"/>
      </rPr>
      <t>V</t>
    </r>
    <r>
      <rPr>
        <sz val="10"/>
        <rFont val="Arial"/>
        <family val="2"/>
      </rPr>
      <t>[dB]</t>
    </r>
    <phoneticPr fontId="1"/>
  </si>
  <si>
    <r>
      <t>L</t>
    </r>
    <r>
      <rPr>
        <vertAlign val="subscript"/>
        <sz val="10"/>
        <rFont val="Arial"/>
        <family val="2"/>
      </rPr>
      <t>pr</t>
    </r>
    <r>
      <rPr>
        <sz val="10"/>
        <rFont val="Arial"/>
        <family val="2"/>
      </rPr>
      <t>[dB]</t>
    </r>
    <phoneticPr fontId="1"/>
  </si>
  <si>
    <r>
      <t>L</t>
    </r>
    <r>
      <rPr>
        <vertAlign val="subscript"/>
        <sz val="10"/>
        <rFont val="Arial"/>
        <family val="2"/>
      </rPr>
      <t>APr</t>
    </r>
    <r>
      <rPr>
        <sz val="10"/>
        <rFont val="Arial"/>
        <family val="2"/>
      </rPr>
      <t>[dB]</t>
    </r>
    <phoneticPr fontId="1"/>
  </si>
  <si>
    <r>
      <t>G</t>
    </r>
    <r>
      <rPr>
        <vertAlign val="subscript"/>
        <sz val="10"/>
        <rFont val="Arial"/>
        <family val="2"/>
      </rPr>
      <t>ARX</t>
    </r>
    <r>
      <rPr>
        <sz val="10"/>
        <rFont val="Arial"/>
        <family val="2"/>
      </rPr>
      <t>[dB]</t>
    </r>
    <phoneticPr fontId="1"/>
  </si>
  <si>
    <r>
      <t>L</t>
    </r>
    <r>
      <rPr>
        <vertAlign val="subscript"/>
        <sz val="10"/>
        <rFont val="Arial"/>
        <family val="2"/>
      </rPr>
      <t>FRX</t>
    </r>
    <r>
      <rPr>
        <sz val="10"/>
        <rFont val="Arial"/>
        <family val="2"/>
      </rPr>
      <t>[dB]</t>
    </r>
    <phoneticPr fontId="1"/>
  </si>
  <si>
    <r>
      <t>T</t>
    </r>
    <r>
      <rPr>
        <vertAlign val="subscript"/>
        <sz val="10"/>
        <rFont val="Arial"/>
        <family val="2"/>
      </rPr>
      <t>A</t>
    </r>
    <r>
      <rPr>
        <sz val="10"/>
        <rFont val="Arial"/>
        <family val="2"/>
      </rPr>
      <t>[K]</t>
    </r>
    <phoneticPr fontId="1"/>
  </si>
  <si>
    <r>
      <t>T</t>
    </r>
    <r>
      <rPr>
        <vertAlign val="subscript"/>
        <sz val="10"/>
        <rFont val="Arial"/>
        <family val="2"/>
      </rPr>
      <t>E</t>
    </r>
    <r>
      <rPr>
        <sz val="10"/>
        <rFont val="Arial"/>
        <family val="2"/>
      </rPr>
      <t>[K]</t>
    </r>
    <phoneticPr fontId="1"/>
  </si>
  <si>
    <r>
      <t>T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>[K]</t>
    </r>
    <phoneticPr fontId="1"/>
  </si>
  <si>
    <r>
      <t>T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[K]</t>
    </r>
    <phoneticPr fontId="1"/>
  </si>
  <si>
    <r>
      <t>T</t>
    </r>
    <r>
      <rPr>
        <vertAlign val="subscript"/>
        <sz val="10"/>
        <rFont val="Arial"/>
        <family val="2"/>
      </rPr>
      <t>G</t>
    </r>
    <r>
      <rPr>
        <sz val="10"/>
        <rFont val="Arial"/>
        <family val="2"/>
      </rPr>
      <t>[K]</t>
    </r>
    <phoneticPr fontId="1"/>
  </si>
  <si>
    <r>
      <t>T</t>
    </r>
    <r>
      <rPr>
        <vertAlign val="subscript"/>
        <sz val="10"/>
        <rFont val="Arial"/>
        <family val="2"/>
      </rPr>
      <t>m</t>
    </r>
    <r>
      <rPr>
        <sz val="10"/>
        <rFont val="Arial"/>
        <family val="2"/>
      </rPr>
      <t>[K]</t>
    </r>
    <phoneticPr fontId="1"/>
  </si>
  <si>
    <r>
      <t>T</t>
    </r>
    <r>
      <rPr>
        <vertAlign val="subscript"/>
        <sz val="10"/>
        <rFont val="Arial"/>
        <family val="2"/>
      </rPr>
      <t>SKY</t>
    </r>
    <r>
      <rPr>
        <sz val="10"/>
        <rFont val="Arial"/>
        <family val="2"/>
      </rPr>
      <t>[K]</t>
    </r>
    <phoneticPr fontId="1"/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</si>
  <si>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>[dB]</t>
    </r>
    <phoneticPr fontId="1"/>
  </si>
  <si>
    <r>
      <t>L</t>
    </r>
    <r>
      <rPr>
        <vertAlign val="subscript"/>
        <sz val="10"/>
        <rFont val="Arial"/>
        <family val="2"/>
      </rPr>
      <t>D</t>
    </r>
    <r>
      <rPr>
        <sz val="10"/>
        <rFont val="Arial"/>
        <family val="2"/>
      </rPr>
      <t>[dB]</t>
    </r>
    <phoneticPr fontId="1"/>
  </si>
  <si>
    <r>
      <t>L</t>
    </r>
    <r>
      <rPr>
        <vertAlign val="subscript"/>
        <sz val="10"/>
        <rFont val="Arial"/>
        <family val="2"/>
      </rPr>
      <t>G</t>
    </r>
    <r>
      <rPr>
        <sz val="10"/>
        <rFont val="Arial"/>
        <family val="2"/>
      </rPr>
      <t>[dB]</t>
    </r>
    <phoneticPr fontId="1"/>
  </si>
  <si>
    <r>
      <t>L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>[dB]</t>
    </r>
    <phoneticPr fontId="1"/>
  </si>
  <si>
    <r>
      <t>B</t>
    </r>
    <r>
      <rPr>
        <vertAlign val="subscript"/>
        <sz val="10"/>
        <rFont val="Arial"/>
        <family val="2"/>
      </rPr>
      <t>ps</t>
    </r>
    <r>
      <rPr>
        <sz val="10"/>
        <rFont val="Arial"/>
        <family val="2"/>
      </rPr>
      <t>[bps]</t>
    </r>
    <phoneticPr fontId="1"/>
  </si>
  <si>
    <r>
      <t>B</t>
    </r>
    <r>
      <rPr>
        <vertAlign val="subscript"/>
        <sz val="10"/>
        <rFont val="Arial"/>
        <family val="2"/>
      </rPr>
      <t>ps</t>
    </r>
    <r>
      <rPr>
        <sz val="10"/>
        <rFont val="Arial"/>
        <family val="2"/>
      </rPr>
      <t>[dBHz]</t>
    </r>
    <phoneticPr fontId="1"/>
  </si>
  <si>
    <r>
      <t>P</t>
    </r>
    <r>
      <rPr>
        <vertAlign val="subscript"/>
        <sz val="10"/>
        <rFont val="Arial"/>
        <family val="2"/>
      </rPr>
      <t>b</t>
    </r>
    <phoneticPr fontId="1"/>
  </si>
  <si>
    <r>
      <t>C/N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>[dB]</t>
    </r>
    <phoneticPr fontId="1"/>
  </si>
  <si>
    <r>
      <t>Request E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/N</t>
    </r>
    <r>
      <rPr>
        <vertAlign val="subscript"/>
        <sz val="10"/>
        <rFont val="Arial"/>
        <family val="2"/>
      </rPr>
      <t>0</t>
    </r>
    <phoneticPr fontId="1"/>
  </si>
  <si>
    <r>
      <t>(E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/N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>)</t>
    </r>
    <r>
      <rPr>
        <vertAlign val="subscript"/>
        <sz val="10"/>
        <rFont val="Arial"/>
        <family val="2"/>
      </rPr>
      <t>req</t>
    </r>
    <r>
      <rPr>
        <sz val="10"/>
        <rFont val="Arial"/>
        <family val="2"/>
      </rPr>
      <t>[dB]</t>
    </r>
    <phoneticPr fontId="1"/>
  </si>
  <si>
    <r>
      <t>Request C/N</t>
    </r>
    <r>
      <rPr>
        <vertAlign val="subscript"/>
        <sz val="10"/>
        <rFont val="Arial"/>
        <family val="2"/>
      </rPr>
      <t>0</t>
    </r>
    <phoneticPr fontId="1"/>
  </si>
  <si>
    <r>
      <t>(C/N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>)</t>
    </r>
    <r>
      <rPr>
        <vertAlign val="subscript"/>
        <sz val="10"/>
        <rFont val="Arial"/>
        <family val="2"/>
      </rPr>
      <t>req</t>
    </r>
    <r>
      <rPr>
        <sz val="10"/>
        <rFont val="Arial"/>
        <family val="2"/>
      </rPr>
      <t>[dB]</t>
    </r>
    <phoneticPr fontId="1"/>
  </si>
  <si>
    <r>
      <t>k[W/Hz•</t>
    </r>
    <r>
      <rPr>
        <sz val="10"/>
        <rFont val="Arial"/>
        <family val="2"/>
      </rPr>
      <t>K]</t>
    </r>
    <phoneticPr fontId="1"/>
  </si>
  <si>
    <t>k[W/Hz•K]</t>
    <phoneticPr fontId="1"/>
  </si>
  <si>
    <r>
      <t>(C/N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>)</t>
    </r>
    <r>
      <rPr>
        <vertAlign val="subscript"/>
        <sz val="10"/>
        <rFont val="Arial"/>
        <family val="2"/>
      </rPr>
      <t>req</t>
    </r>
    <r>
      <rPr>
        <sz val="10"/>
        <rFont val="Arial"/>
        <family val="2"/>
      </rPr>
      <t>[dB]</t>
    </r>
    <phoneticPr fontId="1"/>
  </si>
  <si>
    <r>
      <t>T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>[K]</t>
    </r>
    <phoneticPr fontId="1"/>
  </si>
  <si>
    <t>Received Feeding Power Loss</t>
    <phoneticPr fontId="1"/>
  </si>
  <si>
    <r>
      <t>Receive C/N</t>
    </r>
    <r>
      <rPr>
        <vertAlign val="subscript"/>
        <sz val="10"/>
        <rFont val="Arial"/>
        <family val="2"/>
      </rPr>
      <t>0 (</t>
    </r>
    <r>
      <rPr>
        <sz val="10"/>
        <rFont val="Arial"/>
        <family val="2"/>
      </rPr>
      <t>Received Power/Noise Power)</t>
    </r>
    <phoneticPr fontId="1"/>
  </si>
  <si>
    <r>
      <t>Receive C/N</t>
    </r>
    <r>
      <rPr>
        <vertAlign val="subscript"/>
        <sz val="10"/>
        <rFont val="Arial"/>
        <family val="2"/>
      </rPr>
      <t>0 (</t>
    </r>
    <r>
      <rPr>
        <sz val="10"/>
        <rFont val="Arial"/>
        <family val="2"/>
      </rPr>
      <t>Received Power/Noise Power)</t>
    </r>
    <phoneticPr fontId="1"/>
  </si>
  <si>
    <t>Received Feeding Power Loss</t>
    <phoneticPr fontId="1"/>
  </si>
  <si>
    <t>※プリアンプ作動してアンテナ利得を21.5くらいにまであげる</t>
    <phoneticPr fontId="1"/>
  </si>
  <si>
    <t>受信アンテナ利得※</t>
    <rPh sb="0" eb="2">
      <t>ジュシン</t>
    </rPh>
    <rPh sb="6" eb="8">
      <t>リトク</t>
    </rPh>
    <phoneticPr fontId="1"/>
  </si>
  <si>
    <t>Uplink 1200bps</t>
    <phoneticPr fontId="1"/>
  </si>
  <si>
    <t>C[dBW]</t>
    <phoneticPr fontId="1"/>
  </si>
  <si>
    <t>C[dBW]</t>
    <phoneticPr fontId="1"/>
  </si>
  <si>
    <t>Transponder_Uplink</t>
    <phoneticPr fontId="1"/>
  </si>
  <si>
    <t>Transponder_Downlink</t>
    <phoneticPr fontId="1"/>
  </si>
  <si>
    <t>日大</t>
    <rPh sb="0" eb="2">
      <t>ニチダイ</t>
    </rPh>
    <phoneticPr fontId="1"/>
  </si>
  <si>
    <t>深井様</t>
    <rPh sb="0" eb="3">
      <t>フカイサマ</t>
    </rPh>
    <phoneticPr fontId="1"/>
  </si>
  <si>
    <t>Downlink 1200bps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</si>
</sst>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E+00"/>
    <numFmt numFmtId="177" formatCode="#,##0.0_ "/>
    <numFmt numFmtId="178" formatCode="#,##0_ "/>
    <numFmt numFmtId="179" formatCode="0.0_ "/>
    <numFmt numFmtId="180" formatCode="0.00_ "/>
    <numFmt numFmtId="181" formatCode="0.00_);[Red]\(0.0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vertAlign val="subscript"/>
      <sz val="10.5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vertAlign val="subscript"/>
      <sz val="10"/>
      <name val="Arial"/>
      <family val="2"/>
    </font>
    <font>
      <sz val="10"/>
      <name val="ＭＳ Ｐゴシック"/>
      <family val="3"/>
      <charset val="128"/>
    </font>
    <font>
      <i/>
      <sz val="10.3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quotePrefix="1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11" fontId="0" fillId="0" borderId="9" xfId="0" applyNumberFormat="1" applyBorder="1">
      <alignment vertical="center"/>
    </xf>
    <xf numFmtId="0" fontId="2" fillId="0" borderId="9" xfId="0" applyFont="1" applyBorder="1">
      <alignment vertical="center"/>
    </xf>
    <xf numFmtId="0" fontId="2" fillId="0" borderId="6" xfId="0" applyNumberFormat="1" applyFont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1" fontId="0" fillId="0" borderId="0" xfId="0" applyNumberForma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9" xfId="0" applyFont="1" applyFill="1" applyBorder="1">
      <alignment vertical="center"/>
    </xf>
    <xf numFmtId="11" fontId="2" fillId="0" borderId="6" xfId="0" applyNumberFormat="1" applyFont="1" applyBorder="1">
      <alignment vertical="center"/>
    </xf>
    <xf numFmtId="0" fontId="2" fillId="4" borderId="5" xfId="0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2" fillId="4" borderId="6" xfId="0" applyFont="1" applyFill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NumberFormat="1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5" borderId="5" xfId="0" applyFont="1" applyFill="1" applyBorder="1">
      <alignment vertical="center"/>
    </xf>
    <xf numFmtId="0" fontId="2" fillId="5" borderId="1" xfId="0" applyFont="1" applyFill="1" applyBorder="1">
      <alignment vertical="center"/>
    </xf>
    <xf numFmtId="0" fontId="2" fillId="5" borderId="6" xfId="0" applyFont="1" applyFill="1" applyBorder="1">
      <alignment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6" xfId="0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11" fontId="4" fillId="0" borderId="9" xfId="0" applyNumberFormat="1" applyFont="1" applyBorder="1">
      <alignment vertical="center"/>
    </xf>
    <xf numFmtId="11" fontId="4" fillId="0" borderId="0" xfId="0" applyNumberFormat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0" xfId="0" quotePrefix="1" applyFont="1">
      <alignment vertical="center"/>
    </xf>
    <xf numFmtId="0" fontId="4" fillId="0" borderId="9" xfId="0" applyFont="1" applyBorder="1">
      <alignment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15" xfId="0" applyNumberFormat="1" applyFont="1" applyBorder="1">
      <alignment vertical="center"/>
    </xf>
    <xf numFmtId="0" fontId="4" fillId="0" borderId="0" xfId="0" applyNumberFormat="1" applyFont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4" fillId="0" borderId="15" xfId="0" applyNumberFormat="1" applyFont="1" applyFill="1" applyBorder="1">
      <alignment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7" fillId="6" borderId="0" xfId="0" applyFont="1" applyFill="1">
      <alignment vertical="center"/>
    </xf>
    <xf numFmtId="11" fontId="4" fillId="0" borderId="6" xfId="0" applyNumberFormat="1" applyFont="1" applyBorder="1">
      <alignment vertical="center"/>
    </xf>
    <xf numFmtId="0" fontId="4" fillId="0" borderId="6" xfId="0" applyNumberFormat="1" applyFont="1" applyBorder="1">
      <alignment vertical="center"/>
    </xf>
    <xf numFmtId="0" fontId="4" fillId="0" borderId="6" xfId="0" applyNumberFormat="1" applyFont="1" applyFill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NumberFormat="1" applyFont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12" xfId="0" applyNumberFormat="1" applyFont="1" applyFill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>
      <alignment vertical="center"/>
    </xf>
    <xf numFmtId="11" fontId="4" fillId="0" borderId="6" xfId="0" applyNumberFormat="1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176" fontId="0" fillId="0" borderId="0" xfId="0" applyNumberFormat="1" applyFill="1" applyBorder="1">
      <alignment vertical="center"/>
    </xf>
    <xf numFmtId="11" fontId="0" fillId="0" borderId="0" xfId="0" applyNumberFormat="1" applyFill="1" applyBorder="1">
      <alignment vertical="center"/>
    </xf>
    <xf numFmtId="0" fontId="2" fillId="0" borderId="0" xfId="0" applyNumberFormat="1" applyFont="1" applyFill="1" applyBorder="1">
      <alignment vertical="center"/>
    </xf>
    <xf numFmtId="0" fontId="0" fillId="0" borderId="0" xfId="0" applyAlignment="1"/>
    <xf numFmtId="0" fontId="2" fillId="0" borderId="2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0" fillId="0" borderId="6" xfId="0" applyFill="1" applyBorder="1">
      <alignment vertical="center"/>
    </xf>
    <xf numFmtId="176" fontId="0" fillId="0" borderId="6" xfId="0" applyNumberForma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11" fontId="0" fillId="0" borderId="9" xfId="0" applyNumberFormat="1" applyFill="1" applyBorder="1">
      <alignment vertical="center"/>
    </xf>
    <xf numFmtId="0" fontId="2" fillId="0" borderId="0" xfId="0" quotePrefix="1" applyFont="1" applyFill="1">
      <alignment vertical="center"/>
    </xf>
    <xf numFmtId="0" fontId="2" fillId="0" borderId="9" xfId="0" applyFont="1" applyFill="1" applyBorder="1">
      <alignment vertical="center"/>
    </xf>
    <xf numFmtId="0" fontId="2" fillId="0" borderId="6" xfId="0" applyNumberFormat="1" applyFont="1" applyFill="1" applyBorder="1">
      <alignment vertical="center"/>
    </xf>
    <xf numFmtId="0" fontId="2" fillId="0" borderId="13" xfId="0" applyFont="1" applyFill="1" applyBorder="1" applyAlignment="1">
      <alignment horizontal="center" vertical="center"/>
    </xf>
    <xf numFmtId="11" fontId="2" fillId="0" borderId="6" xfId="0" applyNumberFormat="1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12" xfId="0" applyNumberFormat="1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8" borderId="6" xfId="0" applyFont="1" applyFill="1" applyBorder="1">
      <alignment vertical="center"/>
    </xf>
    <xf numFmtId="0" fontId="2" fillId="10" borderId="6" xfId="0" applyFont="1" applyFill="1" applyBorder="1">
      <alignment vertical="center"/>
    </xf>
    <xf numFmtId="0" fontId="2" fillId="11" borderId="0" xfId="0" applyFont="1" applyFill="1">
      <alignment vertical="center"/>
    </xf>
    <xf numFmtId="0" fontId="2" fillId="11" borderId="0" xfId="0" quotePrefix="1" applyFont="1" applyFill="1">
      <alignment vertical="center"/>
    </xf>
    <xf numFmtId="0" fontId="2" fillId="11" borderId="0" xfId="0" applyFont="1" applyFill="1" applyAlignment="1">
      <alignment vertical="center"/>
    </xf>
    <xf numFmtId="0" fontId="2" fillId="11" borderId="0" xfId="0" applyFont="1" applyFill="1" applyBorder="1">
      <alignment vertical="center"/>
    </xf>
    <xf numFmtId="0" fontId="0" fillId="11" borderId="0" xfId="0" applyFill="1" applyBorder="1">
      <alignment vertical="center"/>
    </xf>
    <xf numFmtId="176" fontId="0" fillId="11" borderId="0" xfId="0" applyNumberFormat="1" applyFill="1" applyBorder="1">
      <alignment vertical="center"/>
    </xf>
    <xf numFmtId="11" fontId="0" fillId="11" borderId="0" xfId="0" applyNumberFormat="1" applyFill="1" applyBorder="1">
      <alignment vertical="center"/>
    </xf>
    <xf numFmtId="0" fontId="2" fillId="11" borderId="0" xfId="0" applyFont="1" applyFill="1" applyBorder="1" applyAlignment="1">
      <alignment horizontal="center" vertical="center"/>
    </xf>
    <xf numFmtId="0" fontId="2" fillId="11" borderId="0" xfId="0" applyNumberFormat="1" applyFont="1" applyFill="1" applyBorder="1">
      <alignment vertical="center"/>
    </xf>
    <xf numFmtId="0" fontId="2" fillId="11" borderId="5" xfId="0" applyFont="1" applyFill="1" applyBorder="1">
      <alignment vertical="center"/>
    </xf>
    <xf numFmtId="0" fontId="2" fillId="11" borderId="1" xfId="0" applyFont="1" applyFill="1" applyBorder="1">
      <alignment vertical="center"/>
    </xf>
    <xf numFmtId="0" fontId="2" fillId="11" borderId="6" xfId="0" applyFont="1" applyFill="1" applyBorder="1">
      <alignment vertical="center"/>
    </xf>
    <xf numFmtId="180" fontId="2" fillId="0" borderId="15" xfId="0" applyNumberFormat="1" applyFont="1" applyFill="1" applyBorder="1">
      <alignment vertical="center"/>
    </xf>
    <xf numFmtId="0" fontId="2" fillId="11" borderId="6" xfId="0" applyNumberFormat="1" applyFont="1" applyFill="1" applyBorder="1">
      <alignment vertical="center"/>
    </xf>
    <xf numFmtId="11" fontId="2" fillId="11" borderId="6" xfId="0" applyNumberFormat="1" applyFont="1" applyFill="1" applyBorder="1">
      <alignment vertical="center"/>
    </xf>
    <xf numFmtId="0" fontId="2" fillId="11" borderId="9" xfId="0" applyFont="1" applyFill="1" applyBorder="1">
      <alignment vertical="center"/>
    </xf>
    <xf numFmtId="0" fontId="2" fillId="11" borderId="7" xfId="0" applyFont="1" applyFill="1" applyBorder="1">
      <alignment vertical="center"/>
    </xf>
    <xf numFmtId="0" fontId="2" fillId="11" borderId="8" xfId="0" applyFont="1" applyFill="1" applyBorder="1">
      <alignment vertical="center"/>
    </xf>
    <xf numFmtId="0" fontId="2" fillId="11" borderId="10" xfId="0" applyFont="1" applyFill="1" applyBorder="1">
      <alignment vertical="center"/>
    </xf>
    <xf numFmtId="0" fontId="2" fillId="11" borderId="11" xfId="0" applyFont="1" applyFill="1" applyBorder="1">
      <alignment vertical="center"/>
    </xf>
    <xf numFmtId="0" fontId="2" fillId="11" borderId="12" xfId="0" applyNumberFormat="1" applyFont="1" applyFill="1" applyBorder="1">
      <alignment vertical="center"/>
    </xf>
    <xf numFmtId="0" fontId="2" fillId="11" borderId="2" xfId="0" applyFont="1" applyFill="1" applyBorder="1">
      <alignment vertical="center"/>
    </xf>
    <xf numFmtId="0" fontId="2" fillId="11" borderId="3" xfId="0" applyFont="1" applyFill="1" applyBorder="1">
      <alignment vertical="center"/>
    </xf>
    <xf numFmtId="0" fontId="2" fillId="11" borderId="4" xfId="0" applyFont="1" applyFill="1" applyBorder="1">
      <alignment vertical="center"/>
    </xf>
    <xf numFmtId="0" fontId="0" fillId="0" borderId="0" xfId="0" applyFill="1" applyBorder="1" applyAlignment="1"/>
    <xf numFmtId="0" fontId="2" fillId="0" borderId="30" xfId="0" applyFont="1" applyFill="1" applyBorder="1">
      <alignment vertical="center"/>
    </xf>
    <xf numFmtId="0" fontId="2" fillId="11" borderId="31" xfId="0" applyFont="1" applyFill="1" applyBorder="1">
      <alignment vertical="center"/>
    </xf>
    <xf numFmtId="0" fontId="2" fillId="0" borderId="30" xfId="0" applyFont="1" applyBorder="1">
      <alignment vertical="center"/>
    </xf>
    <xf numFmtId="2" fontId="2" fillId="11" borderId="0" xfId="0" applyNumberFormat="1" applyFont="1" applyFill="1">
      <alignment vertical="center"/>
    </xf>
    <xf numFmtId="2" fontId="2" fillId="11" borderId="7" xfId="0" applyNumberFormat="1" applyFont="1" applyFill="1" applyBorder="1">
      <alignment vertical="center"/>
    </xf>
    <xf numFmtId="2" fontId="2" fillId="11" borderId="8" xfId="0" applyNumberFormat="1" applyFont="1" applyFill="1" applyBorder="1">
      <alignment vertical="center"/>
    </xf>
    <xf numFmtId="2" fontId="2" fillId="11" borderId="0" xfId="0" applyNumberFormat="1" applyFont="1" applyFill="1" applyBorder="1">
      <alignment vertical="center"/>
    </xf>
    <xf numFmtId="2" fontId="2" fillId="0" borderId="7" xfId="0" applyNumberFormat="1" applyFont="1" applyFill="1" applyBorder="1">
      <alignment vertical="center"/>
    </xf>
    <xf numFmtId="2" fontId="2" fillId="0" borderId="8" xfId="0" applyNumberFormat="1" applyFont="1" applyFill="1" applyBorder="1">
      <alignment vertical="center"/>
    </xf>
    <xf numFmtId="181" fontId="2" fillId="0" borderId="7" xfId="0" applyNumberFormat="1" applyFont="1" applyFill="1" applyBorder="1">
      <alignment vertical="center"/>
    </xf>
    <xf numFmtId="181" fontId="2" fillId="0" borderId="8" xfId="0" applyNumberFormat="1" applyFont="1" applyFill="1" applyBorder="1">
      <alignment vertical="center"/>
    </xf>
    <xf numFmtId="181" fontId="2" fillId="0" borderId="9" xfId="0" applyNumberFormat="1" applyFont="1" applyFill="1" applyBorder="1">
      <alignment vertical="center"/>
    </xf>
    <xf numFmtId="181" fontId="2" fillId="11" borderId="0" xfId="0" applyNumberFormat="1" applyFont="1" applyFill="1">
      <alignment vertical="center"/>
    </xf>
    <xf numFmtId="181" fontId="2" fillId="11" borderId="9" xfId="0" applyNumberFormat="1" applyFont="1" applyFill="1" applyBorder="1">
      <alignment vertical="center"/>
    </xf>
    <xf numFmtId="181" fontId="2" fillId="11" borderId="0" xfId="0" applyNumberFormat="1" applyFont="1" applyFill="1" applyBorder="1">
      <alignment vertical="center"/>
    </xf>
    <xf numFmtId="181" fontId="2" fillId="11" borderId="7" xfId="0" applyNumberFormat="1" applyFont="1" applyFill="1" applyBorder="1">
      <alignment vertical="center"/>
    </xf>
    <xf numFmtId="181" fontId="2" fillId="11" borderId="8" xfId="0" applyNumberFormat="1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7" borderId="19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2" fontId="2" fillId="12" borderId="9" xfId="0" applyNumberFormat="1" applyFont="1" applyFill="1" applyBorder="1">
      <alignment vertical="center"/>
    </xf>
    <xf numFmtId="0" fontId="0" fillId="0" borderId="0" xfId="0" applyBorder="1" applyAlignment="1"/>
    <xf numFmtId="0" fontId="8" fillId="0" borderId="0" xfId="0" applyFont="1" applyBorder="1" applyAlignment="1">
      <alignment horizontal="left" indent="1"/>
    </xf>
    <xf numFmtId="177" fontId="0" fillId="0" borderId="0" xfId="0" applyNumberFormat="1" applyFill="1" applyBorder="1" applyAlignment="1"/>
    <xf numFmtId="0" fontId="0" fillId="0" borderId="0" xfId="0" applyFill="1" applyBorder="1" applyAlignment="1">
      <alignment horizontal="center"/>
    </xf>
    <xf numFmtId="178" fontId="0" fillId="0" borderId="0" xfId="0" applyNumberFormat="1" applyFill="1" applyBorder="1" applyAlignment="1"/>
    <xf numFmtId="179" fontId="0" fillId="0" borderId="0" xfId="0" applyNumberFormat="1" applyFill="1" applyBorder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3"/>
  <sheetViews>
    <sheetView tabSelected="1" topLeftCell="R1" zoomScaleNormal="100" workbookViewId="0">
      <selection activeCell="X7" sqref="X7"/>
    </sheetView>
  </sheetViews>
  <sheetFormatPr defaultColWidth="9" defaultRowHeight="12.75" x14ac:dyDescent="0.15"/>
  <cols>
    <col min="1" max="1" width="2.625" style="1" customWidth="1"/>
    <col min="2" max="2" width="26.125" style="1" customWidth="1"/>
    <col min="3" max="4" width="10.625" style="1" customWidth="1"/>
    <col min="5" max="5" width="2.625" style="1" customWidth="1"/>
    <col min="6" max="6" width="26.125" style="1" customWidth="1"/>
    <col min="7" max="8" width="10.625" style="1" customWidth="1"/>
    <col min="9" max="9" width="2.625" style="1" customWidth="1"/>
    <col min="10" max="10" width="26.125" style="1" customWidth="1"/>
    <col min="11" max="12" width="10.625" style="1" customWidth="1"/>
    <col min="13" max="13" width="2.625" style="1" customWidth="1"/>
    <col min="14" max="14" width="26.125" style="1" customWidth="1"/>
    <col min="15" max="16" width="10.625" style="1" customWidth="1"/>
    <col min="17" max="17" width="9" style="1"/>
    <col min="18" max="18" width="29.25" style="1" bestFit="1" customWidth="1"/>
    <col min="19" max="19" width="10.5" style="1" bestFit="1" customWidth="1"/>
    <col min="20" max="21" width="9" style="1"/>
    <col min="22" max="22" width="29.25" style="1" bestFit="1" customWidth="1"/>
    <col min="23" max="26" width="9" style="1"/>
    <col min="27" max="27" width="3.75" style="1" bestFit="1" customWidth="1"/>
    <col min="28" max="28" width="15.5" style="1" bestFit="1" customWidth="1"/>
    <col min="29" max="29" width="10.125" style="1" bestFit="1" customWidth="1"/>
    <col min="30" max="30" width="7.75" style="1" bestFit="1" customWidth="1"/>
    <col min="31" max="31" width="9.625" style="1" bestFit="1" customWidth="1"/>
    <col min="32" max="16384" width="9" style="1"/>
  </cols>
  <sheetData>
    <row r="1" spans="1:42" ht="13.5" thickBot="1" x14ac:dyDescent="0.2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09"/>
      <c r="Z1" s="109"/>
      <c r="AA1" s="109"/>
      <c r="AB1" s="109"/>
      <c r="AC1" s="109"/>
      <c r="AD1" s="109"/>
      <c r="AE1" s="109"/>
    </row>
    <row r="2" spans="1:42" ht="13.5" thickBot="1" x14ac:dyDescent="0.2">
      <c r="A2" s="135"/>
      <c r="B2" s="182" t="s">
        <v>338</v>
      </c>
      <c r="C2" s="183"/>
      <c r="D2" s="184"/>
      <c r="E2" s="135"/>
      <c r="F2" s="182" t="s">
        <v>105</v>
      </c>
      <c r="G2" s="183"/>
      <c r="H2" s="184"/>
      <c r="I2" s="137"/>
      <c r="J2" s="182" t="s">
        <v>110</v>
      </c>
      <c r="K2" s="183"/>
      <c r="L2" s="184"/>
      <c r="M2" s="135"/>
      <c r="N2" s="182" t="s">
        <v>331</v>
      </c>
      <c r="O2" s="183"/>
      <c r="P2" s="184"/>
      <c r="Q2" s="135"/>
      <c r="R2" s="182" t="s">
        <v>334</v>
      </c>
      <c r="S2" s="183"/>
      <c r="T2" s="184"/>
      <c r="U2" s="135"/>
      <c r="V2" s="182" t="s">
        <v>335</v>
      </c>
      <c r="W2" s="183"/>
      <c r="X2" s="184"/>
      <c r="Y2" s="109"/>
      <c r="Z2" s="109"/>
      <c r="AA2" s="109"/>
      <c r="AB2" s="109"/>
      <c r="AC2" s="109"/>
      <c r="AD2" s="109"/>
      <c r="AE2" s="109"/>
    </row>
    <row r="3" spans="1:42" ht="13.5" customHeight="1" x14ac:dyDescent="0.15">
      <c r="A3" s="135"/>
      <c r="B3" s="116" t="s">
        <v>0</v>
      </c>
      <c r="C3" s="192" t="s">
        <v>118</v>
      </c>
      <c r="D3" s="193"/>
      <c r="E3" s="135"/>
      <c r="F3" s="116" t="s">
        <v>0</v>
      </c>
      <c r="G3" s="192" t="s">
        <v>108</v>
      </c>
      <c r="H3" s="193"/>
      <c r="I3" s="138"/>
      <c r="J3" s="116" t="s">
        <v>0</v>
      </c>
      <c r="K3" s="192" t="s">
        <v>116</v>
      </c>
      <c r="L3" s="193"/>
      <c r="M3" s="135"/>
      <c r="N3" s="116" t="s">
        <v>0</v>
      </c>
      <c r="O3" s="192" t="s">
        <v>201</v>
      </c>
      <c r="P3" s="193"/>
      <c r="Q3" s="135"/>
      <c r="R3" s="6" t="s">
        <v>0</v>
      </c>
      <c r="S3" s="185"/>
      <c r="T3" s="186"/>
      <c r="U3" s="135"/>
      <c r="V3" s="6" t="s">
        <v>0</v>
      </c>
      <c r="W3" s="185"/>
      <c r="X3" s="186"/>
      <c r="Y3" s="109"/>
      <c r="Z3" s="109"/>
      <c r="AA3" s="109"/>
      <c r="AB3" s="109"/>
      <c r="AC3" s="109"/>
      <c r="AD3" s="109"/>
      <c r="AE3" s="109"/>
    </row>
    <row r="4" spans="1:42" x14ac:dyDescent="0.15">
      <c r="A4" s="135"/>
      <c r="B4" s="117" t="s">
        <v>128</v>
      </c>
      <c r="C4" s="187" t="s">
        <v>206</v>
      </c>
      <c r="D4" s="188"/>
      <c r="E4" s="135"/>
      <c r="F4" s="117" t="s">
        <v>128</v>
      </c>
      <c r="G4" s="187" t="s">
        <v>206</v>
      </c>
      <c r="H4" s="188"/>
      <c r="I4" s="138"/>
      <c r="J4" s="117" t="s">
        <v>128</v>
      </c>
      <c r="K4" s="187" t="s">
        <v>206</v>
      </c>
      <c r="L4" s="188"/>
      <c r="M4" s="135"/>
      <c r="N4" s="117" t="s">
        <v>204</v>
      </c>
      <c r="O4" s="187" t="s">
        <v>205</v>
      </c>
      <c r="P4" s="188"/>
      <c r="Q4" s="135"/>
      <c r="R4" s="55" t="s">
        <v>204</v>
      </c>
      <c r="S4" s="180" t="s">
        <v>205</v>
      </c>
      <c r="T4" s="181"/>
      <c r="U4" s="135"/>
      <c r="V4" s="55" t="s">
        <v>204</v>
      </c>
      <c r="W4" s="180" t="s">
        <v>206</v>
      </c>
      <c r="X4" s="181"/>
      <c r="Y4" s="109"/>
      <c r="Z4" s="109"/>
      <c r="AA4" s="109"/>
      <c r="AB4" s="109"/>
      <c r="AC4" s="109"/>
      <c r="AD4" s="109"/>
      <c r="AE4" s="109"/>
    </row>
    <row r="5" spans="1:42" x14ac:dyDescent="0.15">
      <c r="A5" s="135"/>
      <c r="B5" s="27" t="s">
        <v>1</v>
      </c>
      <c r="C5" s="28" t="s">
        <v>38</v>
      </c>
      <c r="D5" s="134">
        <v>500</v>
      </c>
      <c r="E5" s="135"/>
      <c r="F5" s="27" t="s">
        <v>1</v>
      </c>
      <c r="G5" s="28" t="s">
        <v>38</v>
      </c>
      <c r="H5" s="134">
        <v>500</v>
      </c>
      <c r="I5" s="138"/>
      <c r="J5" s="27" t="s">
        <v>1</v>
      </c>
      <c r="K5" s="28" t="s">
        <v>38</v>
      </c>
      <c r="L5" s="134">
        <v>500</v>
      </c>
      <c r="M5" s="135"/>
      <c r="N5" s="27" t="s">
        <v>1</v>
      </c>
      <c r="O5" s="28" t="s">
        <v>38</v>
      </c>
      <c r="P5" s="134">
        <v>500</v>
      </c>
      <c r="Q5" s="135"/>
      <c r="R5" s="9" t="s">
        <v>1</v>
      </c>
      <c r="S5" s="4" t="s">
        <v>38</v>
      </c>
      <c r="T5" s="134">
        <v>500</v>
      </c>
      <c r="U5" s="135"/>
      <c r="V5" s="9" t="s">
        <v>1</v>
      </c>
      <c r="W5" s="4" t="s">
        <v>38</v>
      </c>
      <c r="X5" s="134">
        <v>500</v>
      </c>
      <c r="Y5" s="109"/>
      <c r="Z5" s="109"/>
      <c r="AA5" s="109"/>
      <c r="AB5" s="109"/>
      <c r="AC5" s="109"/>
      <c r="AD5" s="109"/>
      <c r="AE5" s="109"/>
    </row>
    <row r="6" spans="1:42" x14ac:dyDescent="0.15">
      <c r="A6" s="135"/>
      <c r="B6" s="27" t="s">
        <v>76</v>
      </c>
      <c r="C6" s="28" t="s">
        <v>77</v>
      </c>
      <c r="D6" s="29">
        <v>6378.1419999999998</v>
      </c>
      <c r="E6" s="135"/>
      <c r="F6" s="27" t="s">
        <v>76</v>
      </c>
      <c r="G6" s="28" t="s">
        <v>77</v>
      </c>
      <c r="H6" s="29">
        <v>6378.1419999999998</v>
      </c>
      <c r="I6" s="138"/>
      <c r="J6" s="27" t="s">
        <v>76</v>
      </c>
      <c r="K6" s="28" t="s">
        <v>77</v>
      </c>
      <c r="L6" s="29">
        <v>6378.1419999999998</v>
      </c>
      <c r="M6" s="135"/>
      <c r="N6" s="27" t="s">
        <v>76</v>
      </c>
      <c r="O6" s="28" t="s">
        <v>77</v>
      </c>
      <c r="P6" s="29">
        <v>6378.1419999999998</v>
      </c>
      <c r="Q6" s="135"/>
      <c r="R6" s="9" t="s">
        <v>76</v>
      </c>
      <c r="S6" s="4" t="s">
        <v>77</v>
      </c>
      <c r="T6" s="10">
        <v>6378.1419999999998</v>
      </c>
      <c r="U6" s="135"/>
      <c r="V6" s="9" t="s">
        <v>76</v>
      </c>
      <c r="W6" s="4" t="s">
        <v>77</v>
      </c>
      <c r="X6" s="10">
        <v>6378.1419999999998</v>
      </c>
      <c r="Y6" s="109"/>
      <c r="Z6" s="109"/>
      <c r="AA6" s="109"/>
      <c r="AB6" s="109"/>
      <c r="AC6" s="109"/>
      <c r="AD6" s="109"/>
      <c r="AE6" s="109"/>
    </row>
    <row r="7" spans="1:42" ht="14.25" x14ac:dyDescent="0.15">
      <c r="A7" s="135"/>
      <c r="B7" s="27" t="s">
        <v>2</v>
      </c>
      <c r="C7" s="28" t="s">
        <v>41</v>
      </c>
      <c r="D7" s="134">
        <v>5</v>
      </c>
      <c r="E7" s="135"/>
      <c r="F7" s="27" t="s">
        <v>2</v>
      </c>
      <c r="G7" s="28" t="s">
        <v>41</v>
      </c>
      <c r="H7" s="134">
        <v>5</v>
      </c>
      <c r="I7" s="138"/>
      <c r="J7" s="27" t="s">
        <v>2</v>
      </c>
      <c r="K7" s="28" t="s">
        <v>41</v>
      </c>
      <c r="L7" s="134">
        <v>5</v>
      </c>
      <c r="M7" s="135"/>
      <c r="N7" s="27" t="s">
        <v>2</v>
      </c>
      <c r="O7" s="28" t="s">
        <v>41</v>
      </c>
      <c r="P7" s="134">
        <v>5</v>
      </c>
      <c r="Q7" s="135"/>
      <c r="R7" s="9" t="s">
        <v>2</v>
      </c>
      <c r="S7" s="4" t="s">
        <v>41</v>
      </c>
      <c r="T7" s="134">
        <v>5</v>
      </c>
      <c r="U7" s="135"/>
      <c r="V7" s="9" t="s">
        <v>2</v>
      </c>
      <c r="W7" s="4" t="s">
        <v>41</v>
      </c>
      <c r="X7" s="134">
        <v>15</v>
      </c>
      <c r="Y7" s="109"/>
      <c r="Z7" s="109"/>
      <c r="AA7" s="109"/>
      <c r="AB7" s="109"/>
      <c r="AC7" s="109"/>
      <c r="AD7" s="109"/>
      <c r="AE7" s="109"/>
    </row>
    <row r="8" spans="1:42" ht="14.25" x14ac:dyDescent="0.15">
      <c r="A8" s="135"/>
      <c r="B8" s="27"/>
      <c r="C8" s="28" t="s">
        <v>42</v>
      </c>
      <c r="D8" s="29">
        <f>D7*PI()/180</f>
        <v>8.7266462599716474E-2</v>
      </c>
      <c r="E8" s="135"/>
      <c r="F8" s="27"/>
      <c r="G8" s="28" t="s">
        <v>42</v>
      </c>
      <c r="H8" s="29">
        <f>H7*PI()/180</f>
        <v>8.7266462599716474E-2</v>
      </c>
      <c r="I8" s="138"/>
      <c r="J8" s="27"/>
      <c r="K8" s="28" t="s">
        <v>42</v>
      </c>
      <c r="L8" s="29">
        <f>L7*PI()/180</f>
        <v>8.7266462599716474E-2</v>
      </c>
      <c r="M8" s="135"/>
      <c r="N8" s="27"/>
      <c r="O8" s="28" t="s">
        <v>42</v>
      </c>
      <c r="P8" s="29">
        <f>P7*PI()/180</f>
        <v>8.7266462599716474E-2</v>
      </c>
      <c r="Q8" s="135"/>
      <c r="R8" s="9"/>
      <c r="S8" s="4" t="s">
        <v>42</v>
      </c>
      <c r="T8" s="10">
        <f>T7*PI()/180</f>
        <v>8.7266462599716474E-2</v>
      </c>
      <c r="U8" s="135"/>
      <c r="V8" s="9"/>
      <c r="W8" s="4" t="s">
        <v>42</v>
      </c>
      <c r="X8" s="10">
        <f>X7*PI()/180</f>
        <v>0.26179938779914941</v>
      </c>
      <c r="Y8" s="109"/>
      <c r="Z8" s="26"/>
      <c r="AA8" s="26"/>
      <c r="AB8" s="26"/>
      <c r="AC8" s="26"/>
      <c r="AD8" s="26"/>
      <c r="AE8" s="26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</row>
    <row r="9" spans="1:42" x14ac:dyDescent="0.15">
      <c r="A9" s="135"/>
      <c r="B9" s="27" t="s">
        <v>3</v>
      </c>
      <c r="C9" s="28" t="s">
        <v>40</v>
      </c>
      <c r="D9" s="29">
        <f>ACOS(D6*COS(D8)/(D6+D5))-D8</f>
        <v>0.30569975601604205</v>
      </c>
      <c r="E9" s="135"/>
      <c r="F9" s="27" t="s">
        <v>3</v>
      </c>
      <c r="G9" s="28" t="s">
        <v>40</v>
      </c>
      <c r="H9" s="29">
        <f>ACOS(H6*COS(H8)/(H6+H5))-H8</f>
        <v>0.30569975601604205</v>
      </c>
      <c r="I9" s="138"/>
      <c r="J9" s="27" t="s">
        <v>3</v>
      </c>
      <c r="K9" s="28" t="s">
        <v>40</v>
      </c>
      <c r="L9" s="29">
        <f>ACOS(L6*COS(L8)/(L6+L5))-L8</f>
        <v>0.30569975601604205</v>
      </c>
      <c r="M9" s="135"/>
      <c r="N9" s="27" t="s">
        <v>3</v>
      </c>
      <c r="O9" s="28" t="s">
        <v>40</v>
      </c>
      <c r="P9" s="29">
        <f>ACOS(P6*COS(P8)/(P6+P5))-P8</f>
        <v>0.30569975601604205</v>
      </c>
      <c r="Q9" s="135"/>
      <c r="R9" s="9" t="s">
        <v>3</v>
      </c>
      <c r="S9" s="4" t="s">
        <v>40</v>
      </c>
      <c r="T9" s="10">
        <f>ACOS(T6*COS(T8)/(T6+T5))-T8</f>
        <v>0.30569975601604205</v>
      </c>
      <c r="U9" s="135"/>
      <c r="V9" s="9" t="s">
        <v>3</v>
      </c>
      <c r="W9" s="4" t="s">
        <v>40</v>
      </c>
      <c r="X9" s="10">
        <f>ACOS(X6*COS(X8)/(X6+X5))-X8</f>
        <v>0.19897426937111912</v>
      </c>
      <c r="Y9" s="109"/>
      <c r="Z9" s="26"/>
      <c r="AA9" s="26"/>
      <c r="AB9" s="26"/>
      <c r="AC9" s="26"/>
      <c r="AD9" s="26"/>
      <c r="AE9" s="26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</row>
    <row r="10" spans="1:42" x14ac:dyDescent="0.15">
      <c r="A10" s="135"/>
      <c r="B10" s="27"/>
      <c r="C10" s="28" t="s">
        <v>39</v>
      </c>
      <c r="D10" s="29">
        <f>D9*180/PI()</f>
        <v>17.515305817898206</v>
      </c>
      <c r="E10" s="135"/>
      <c r="F10" s="27"/>
      <c r="G10" s="28" t="s">
        <v>39</v>
      </c>
      <c r="H10" s="29">
        <f>H9*180/PI()</f>
        <v>17.515305817898206</v>
      </c>
      <c r="I10" s="138"/>
      <c r="J10" s="27"/>
      <c r="K10" s="28" t="s">
        <v>39</v>
      </c>
      <c r="L10" s="29">
        <f>L9*180/PI()</f>
        <v>17.515305817898206</v>
      </c>
      <c r="M10" s="135"/>
      <c r="N10" s="27"/>
      <c r="O10" s="28" t="s">
        <v>39</v>
      </c>
      <c r="P10" s="29">
        <f>P9*180/PI()</f>
        <v>17.515305817898206</v>
      </c>
      <c r="Q10" s="135"/>
      <c r="R10" s="9"/>
      <c r="S10" s="4" t="s">
        <v>39</v>
      </c>
      <c r="T10" s="10">
        <f>T9*180/PI()</f>
        <v>17.515305817898206</v>
      </c>
      <c r="U10" s="135"/>
      <c r="V10" s="9"/>
      <c r="W10" s="4" t="s">
        <v>39</v>
      </c>
      <c r="X10" s="10">
        <f>X9*180/PI()</f>
        <v>11.400385866664291</v>
      </c>
      <c r="Y10" s="109"/>
      <c r="Z10" s="26"/>
      <c r="AA10" s="26"/>
      <c r="AB10" s="26"/>
      <c r="AC10" s="26"/>
      <c r="AD10" s="26"/>
      <c r="AE10" s="26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</row>
    <row r="11" spans="1:42" ht="13.5" x14ac:dyDescent="0.15">
      <c r="A11" s="135"/>
      <c r="B11" s="27" t="s">
        <v>4</v>
      </c>
      <c r="C11" s="28" t="s">
        <v>43</v>
      </c>
      <c r="D11" s="118">
        <f>(D6+D5)*SIN(D9)/COS(D8)</f>
        <v>2077.956733028157</v>
      </c>
      <c r="E11" s="135"/>
      <c r="F11" s="27" t="s">
        <v>4</v>
      </c>
      <c r="G11" s="28" t="s">
        <v>43</v>
      </c>
      <c r="H11" s="118">
        <f>(H6+H5)*SIN(H9)/COS(H8)</f>
        <v>2077.956733028157</v>
      </c>
      <c r="I11" s="139"/>
      <c r="J11" s="27" t="s">
        <v>4</v>
      </c>
      <c r="K11" s="28" t="s">
        <v>43</v>
      </c>
      <c r="L11" s="118">
        <f>(L6+L5)*SIN(L9)/COS(L8)</f>
        <v>2077.956733028157</v>
      </c>
      <c r="M11" s="135"/>
      <c r="N11" s="27" t="s">
        <v>4</v>
      </c>
      <c r="O11" s="28" t="s">
        <v>43</v>
      </c>
      <c r="P11" s="118">
        <f>(P6+P5)*SIN(P9)/COS(P8)</f>
        <v>2077.956733028157</v>
      </c>
      <c r="Q11" s="135"/>
      <c r="R11" s="9" t="s">
        <v>4</v>
      </c>
      <c r="S11" s="4" t="s">
        <v>43</v>
      </c>
      <c r="T11" s="11">
        <f>(T6+T5)*SIN(T9)/COS(T8)</f>
        <v>2077.956733028157</v>
      </c>
      <c r="U11" s="135"/>
      <c r="V11" s="9" t="s">
        <v>4</v>
      </c>
      <c r="W11" s="4" t="s">
        <v>43</v>
      </c>
      <c r="X11" s="11">
        <f>(X6+X5)*SIN(X9)/COS(X8)</f>
        <v>1407.5207696051241</v>
      </c>
      <c r="Y11" s="109"/>
      <c r="Z11" s="159"/>
      <c r="AA11" s="159"/>
      <c r="AB11" s="159"/>
      <c r="AC11" s="26"/>
      <c r="AD11" s="159"/>
      <c r="AE11" s="159"/>
      <c r="AF11" s="227"/>
      <c r="AG11" s="20"/>
      <c r="AH11" s="20"/>
      <c r="AI11" s="20"/>
      <c r="AJ11" s="20"/>
      <c r="AK11" s="20"/>
      <c r="AL11" s="20"/>
      <c r="AM11" s="20"/>
      <c r="AN11" s="20"/>
      <c r="AO11" s="20"/>
      <c r="AP11" s="20"/>
    </row>
    <row r="12" spans="1:42" ht="13.5" x14ac:dyDescent="0.15">
      <c r="A12" s="135"/>
      <c r="B12" s="27" t="s">
        <v>80</v>
      </c>
      <c r="C12" s="28" t="s">
        <v>81</v>
      </c>
      <c r="D12" s="119">
        <f>3*10^8</f>
        <v>300000000</v>
      </c>
      <c r="E12" s="135"/>
      <c r="F12" s="27" t="s">
        <v>80</v>
      </c>
      <c r="G12" s="28" t="s">
        <v>81</v>
      </c>
      <c r="H12" s="119">
        <f>3*10^8</f>
        <v>300000000</v>
      </c>
      <c r="I12" s="140"/>
      <c r="J12" s="27" t="s">
        <v>80</v>
      </c>
      <c r="K12" s="28" t="s">
        <v>81</v>
      </c>
      <c r="L12" s="119">
        <f>3*10^8</f>
        <v>300000000</v>
      </c>
      <c r="M12" s="135"/>
      <c r="N12" s="27" t="s">
        <v>80</v>
      </c>
      <c r="O12" s="28" t="s">
        <v>81</v>
      </c>
      <c r="P12" s="119">
        <f>3*10^8</f>
        <v>300000000</v>
      </c>
      <c r="Q12" s="135"/>
      <c r="R12" s="9" t="s">
        <v>80</v>
      </c>
      <c r="S12" s="4" t="s">
        <v>81</v>
      </c>
      <c r="T12" s="12">
        <f>3*10^8</f>
        <v>300000000</v>
      </c>
      <c r="U12" s="135"/>
      <c r="V12" s="9" t="s">
        <v>80</v>
      </c>
      <c r="W12" s="4" t="s">
        <v>81</v>
      </c>
      <c r="X12" s="12">
        <f>3*10^8</f>
        <v>300000000</v>
      </c>
      <c r="Y12" s="109"/>
      <c r="Z12" s="159"/>
      <c r="AA12" s="159"/>
      <c r="AB12" s="159"/>
      <c r="AC12" s="159"/>
      <c r="AD12" s="159"/>
      <c r="AE12" s="159"/>
      <c r="AF12" s="227"/>
      <c r="AG12" s="20"/>
      <c r="AH12" s="20"/>
      <c r="AI12" s="20"/>
      <c r="AJ12" s="20"/>
      <c r="AK12" s="20"/>
      <c r="AL12" s="20"/>
      <c r="AM12" s="20"/>
      <c r="AN12" s="20"/>
      <c r="AO12" s="20"/>
      <c r="AP12" s="20"/>
    </row>
    <row r="13" spans="1:42" ht="14.25" thickBot="1" x14ac:dyDescent="0.2">
      <c r="A13" s="135"/>
      <c r="B13" s="120" t="s">
        <v>92</v>
      </c>
      <c r="C13" s="121" t="s">
        <v>93</v>
      </c>
      <c r="D13" s="122">
        <f>1.38*10^-23</f>
        <v>1.3800000000000001E-23</v>
      </c>
      <c r="E13" s="135"/>
      <c r="F13" s="120" t="s">
        <v>92</v>
      </c>
      <c r="G13" s="121" t="s">
        <v>93</v>
      </c>
      <c r="H13" s="122">
        <f>1.38*10^-23</f>
        <v>1.3800000000000001E-23</v>
      </c>
      <c r="I13" s="141"/>
      <c r="J13" s="120" t="s">
        <v>92</v>
      </c>
      <c r="K13" s="121" t="s">
        <v>93</v>
      </c>
      <c r="L13" s="122">
        <f>1.38*10^-23</f>
        <v>1.3800000000000001E-23</v>
      </c>
      <c r="M13" s="135"/>
      <c r="N13" s="120" t="s">
        <v>92</v>
      </c>
      <c r="O13" s="121" t="s">
        <v>93</v>
      </c>
      <c r="P13" s="122">
        <f>1.38*10^-23</f>
        <v>1.3800000000000001E-23</v>
      </c>
      <c r="Q13" s="135"/>
      <c r="R13" s="13" t="s">
        <v>92</v>
      </c>
      <c r="S13" s="14" t="s">
        <v>93</v>
      </c>
      <c r="T13" s="15">
        <f>1.38*10^-23</f>
        <v>1.3800000000000001E-23</v>
      </c>
      <c r="U13" s="135"/>
      <c r="V13" s="13" t="s">
        <v>92</v>
      </c>
      <c r="W13" s="14" t="s">
        <v>93</v>
      </c>
      <c r="X13" s="15">
        <f>1.38*10^-23</f>
        <v>1.3800000000000001E-23</v>
      </c>
      <c r="Y13" s="109"/>
      <c r="Z13" s="159"/>
      <c r="AA13" s="159"/>
      <c r="AB13" s="159"/>
      <c r="AC13" s="230"/>
      <c r="AD13" s="230"/>
      <c r="AE13" s="159"/>
      <c r="AF13" s="227"/>
      <c r="AG13" s="20"/>
      <c r="AH13" s="20"/>
      <c r="AI13" s="20"/>
      <c r="AJ13" s="20"/>
      <c r="AK13" s="20"/>
      <c r="AL13" s="20"/>
      <c r="AM13" s="20"/>
      <c r="AN13" s="20"/>
      <c r="AO13" s="20"/>
      <c r="AP13" s="20"/>
    </row>
    <row r="14" spans="1:42" ht="14.25" thickBot="1" x14ac:dyDescent="0.2">
      <c r="A14" s="135"/>
      <c r="B14" s="109"/>
      <c r="C14" s="109"/>
      <c r="D14" s="109"/>
      <c r="E14" s="135"/>
      <c r="F14" s="109"/>
      <c r="G14" s="109"/>
      <c r="H14" s="109"/>
      <c r="I14" s="135"/>
      <c r="J14" s="109"/>
      <c r="K14" s="109"/>
      <c r="L14" s="109"/>
      <c r="M14" s="135"/>
      <c r="N14" s="109"/>
      <c r="O14" s="109"/>
      <c r="P14" s="109"/>
      <c r="Q14" s="135"/>
      <c r="U14" s="135"/>
      <c r="Y14" s="109"/>
      <c r="Z14" s="159"/>
      <c r="AA14" s="159"/>
      <c r="AB14" s="159"/>
      <c r="AC14" s="159"/>
      <c r="AD14" s="159"/>
      <c r="AE14" s="159"/>
      <c r="AF14" s="227"/>
      <c r="AG14" s="20"/>
      <c r="AH14" s="20"/>
      <c r="AI14" s="20"/>
      <c r="AJ14" s="20"/>
      <c r="AK14" s="20"/>
      <c r="AL14" s="20"/>
      <c r="AM14" s="20"/>
      <c r="AN14" s="20"/>
      <c r="AO14" s="20"/>
      <c r="AP14" s="20"/>
    </row>
    <row r="15" spans="1:42" ht="13.5" x14ac:dyDescent="0.15">
      <c r="A15" s="135"/>
      <c r="B15" s="189" t="s">
        <v>10</v>
      </c>
      <c r="C15" s="190"/>
      <c r="D15" s="191"/>
      <c r="E15" s="135"/>
      <c r="F15" s="189" t="s">
        <v>10</v>
      </c>
      <c r="G15" s="190"/>
      <c r="H15" s="191"/>
      <c r="I15" s="142"/>
      <c r="J15" s="189" t="s">
        <v>10</v>
      </c>
      <c r="K15" s="190"/>
      <c r="L15" s="191"/>
      <c r="M15" s="135"/>
      <c r="N15" s="189" t="s">
        <v>109</v>
      </c>
      <c r="O15" s="190"/>
      <c r="P15" s="191"/>
      <c r="Q15" s="135"/>
      <c r="R15" s="177" t="s">
        <v>109</v>
      </c>
      <c r="S15" s="178"/>
      <c r="T15" s="179"/>
      <c r="U15" s="135"/>
      <c r="V15" s="177" t="s">
        <v>10</v>
      </c>
      <c r="W15" s="178"/>
      <c r="X15" s="179"/>
      <c r="Y15" s="109"/>
      <c r="Z15" s="159"/>
      <c r="AA15" s="159"/>
      <c r="AB15" s="159"/>
      <c r="AC15" s="159"/>
      <c r="AD15" s="159"/>
      <c r="AE15" s="159"/>
      <c r="AF15" s="227"/>
      <c r="AG15" s="20"/>
      <c r="AH15" s="20"/>
      <c r="AI15" s="20"/>
      <c r="AJ15" s="20"/>
      <c r="AK15" s="20"/>
      <c r="AL15" s="20"/>
      <c r="AM15" s="20"/>
      <c r="AN15" s="20"/>
      <c r="AO15" s="20"/>
      <c r="AP15" s="20"/>
    </row>
    <row r="16" spans="1:42" ht="13.5" x14ac:dyDescent="0.15">
      <c r="A16" s="135"/>
      <c r="B16" s="27" t="s">
        <v>6</v>
      </c>
      <c r="C16" s="28" t="s">
        <v>44</v>
      </c>
      <c r="D16" s="134">
        <v>430</v>
      </c>
      <c r="E16" s="135"/>
      <c r="F16" s="27" t="s">
        <v>6</v>
      </c>
      <c r="G16" s="28" t="s">
        <v>44</v>
      </c>
      <c r="H16" s="134">
        <v>437</v>
      </c>
      <c r="I16" s="138"/>
      <c r="J16" s="27" t="s">
        <v>6</v>
      </c>
      <c r="K16" s="28" t="s">
        <v>44</v>
      </c>
      <c r="L16" s="134">
        <v>430</v>
      </c>
      <c r="M16" s="135"/>
      <c r="N16" s="27" t="s">
        <v>6</v>
      </c>
      <c r="O16" s="28" t="s">
        <v>44</v>
      </c>
      <c r="P16" s="134">
        <v>144</v>
      </c>
      <c r="Q16" s="135"/>
      <c r="R16" s="9" t="s">
        <v>6</v>
      </c>
      <c r="S16" s="4" t="s">
        <v>44</v>
      </c>
      <c r="T16" s="134">
        <v>144</v>
      </c>
      <c r="U16" s="135"/>
      <c r="V16" s="9" t="s">
        <v>6</v>
      </c>
      <c r="W16" s="4" t="s">
        <v>44</v>
      </c>
      <c r="X16" s="134">
        <v>430</v>
      </c>
      <c r="Y16" s="109"/>
      <c r="Z16" s="159"/>
      <c r="AA16" s="159"/>
      <c r="AB16" s="159"/>
      <c r="AC16" s="159"/>
      <c r="AD16" s="159"/>
      <c r="AE16" s="159"/>
      <c r="AF16" s="227"/>
      <c r="AG16" s="20"/>
      <c r="AH16" s="20"/>
      <c r="AI16" s="20"/>
      <c r="AJ16" s="20"/>
      <c r="AK16" s="20"/>
      <c r="AL16" s="20"/>
      <c r="AM16" s="20"/>
      <c r="AN16" s="20"/>
      <c r="AO16" s="20"/>
      <c r="AP16" s="20"/>
    </row>
    <row r="17" spans="1:42" ht="14.25" x14ac:dyDescent="0.15">
      <c r="A17" s="135"/>
      <c r="B17" s="27" t="s">
        <v>5</v>
      </c>
      <c r="C17" s="28" t="s">
        <v>45</v>
      </c>
      <c r="D17" s="29">
        <v>0.8</v>
      </c>
      <c r="E17" s="135"/>
      <c r="F17" s="27" t="s">
        <v>5</v>
      </c>
      <c r="G17" s="28" t="s">
        <v>45</v>
      </c>
      <c r="H17" s="29">
        <v>0.8</v>
      </c>
      <c r="I17" s="138"/>
      <c r="J17" s="27" t="s">
        <v>5</v>
      </c>
      <c r="K17" s="28" t="s">
        <v>45</v>
      </c>
      <c r="L17" s="29">
        <v>0.1</v>
      </c>
      <c r="M17" s="135"/>
      <c r="N17" s="27" t="s">
        <v>5</v>
      </c>
      <c r="O17" s="28" t="s">
        <v>45</v>
      </c>
      <c r="P17" s="29">
        <v>50</v>
      </c>
      <c r="Q17" s="135"/>
      <c r="R17" s="144" t="s">
        <v>5</v>
      </c>
      <c r="S17" s="145" t="s">
        <v>45</v>
      </c>
      <c r="T17" s="146">
        <v>10</v>
      </c>
      <c r="U17" s="135"/>
      <c r="V17" s="144" t="s">
        <v>5</v>
      </c>
      <c r="W17" s="145" t="s">
        <v>45</v>
      </c>
      <c r="X17" s="146">
        <v>0.4</v>
      </c>
      <c r="Y17" s="109"/>
      <c r="Z17" s="159"/>
      <c r="AA17" s="159"/>
      <c r="AB17" s="159"/>
      <c r="AC17" s="159"/>
      <c r="AD17" s="159"/>
      <c r="AE17" s="159"/>
      <c r="AF17" s="159"/>
      <c r="AG17" s="20"/>
      <c r="AH17" s="20"/>
      <c r="AI17" s="20"/>
      <c r="AJ17" s="20"/>
      <c r="AK17" s="20"/>
      <c r="AL17" s="20"/>
      <c r="AM17" s="20"/>
      <c r="AN17" s="20"/>
      <c r="AO17" s="20"/>
      <c r="AP17" s="20"/>
    </row>
    <row r="18" spans="1:42" ht="14.25" x14ac:dyDescent="0.15">
      <c r="A18" s="135"/>
      <c r="B18" s="27"/>
      <c r="C18" s="28" t="s">
        <v>78</v>
      </c>
      <c r="D18" s="29">
        <f>10*LOG(D17)</f>
        <v>-0.96910013008056395</v>
      </c>
      <c r="E18" s="135"/>
      <c r="F18" s="27"/>
      <c r="G18" s="28" t="s">
        <v>78</v>
      </c>
      <c r="H18" s="29">
        <f>10*LOG(H17)</f>
        <v>-0.96910013008056395</v>
      </c>
      <c r="I18" s="138"/>
      <c r="J18" s="27"/>
      <c r="K18" s="28" t="s">
        <v>78</v>
      </c>
      <c r="L18" s="29">
        <f>10*LOG(L17)</f>
        <v>-10</v>
      </c>
      <c r="M18" s="135"/>
      <c r="N18" s="27"/>
      <c r="O18" s="28" t="s">
        <v>78</v>
      </c>
      <c r="P18" s="29">
        <f>10*LOG(P17)</f>
        <v>16.989700043360187</v>
      </c>
      <c r="Q18" s="135"/>
      <c r="R18" s="144"/>
      <c r="S18" s="145" t="s">
        <v>78</v>
      </c>
      <c r="T18" s="146">
        <f>10*LOG(T17)</f>
        <v>10</v>
      </c>
      <c r="U18" s="135"/>
      <c r="V18" s="144"/>
      <c r="W18" s="145" t="s">
        <v>78</v>
      </c>
      <c r="X18" s="146">
        <f>10*LOG(X17)</f>
        <v>-3.9794000867203758</v>
      </c>
      <c r="Y18" s="109"/>
      <c r="Z18" s="159"/>
      <c r="AA18" s="159"/>
      <c r="AB18" s="159"/>
      <c r="AC18" s="159"/>
      <c r="AD18" s="159"/>
      <c r="AE18" s="159"/>
      <c r="AF18" s="227"/>
      <c r="AG18" s="20"/>
      <c r="AH18" s="20"/>
      <c r="AI18" s="20"/>
      <c r="AJ18" s="20"/>
      <c r="AK18" s="20"/>
      <c r="AL18" s="20"/>
      <c r="AM18" s="20"/>
      <c r="AN18" s="20"/>
      <c r="AO18" s="20"/>
      <c r="AP18" s="20"/>
    </row>
    <row r="19" spans="1:42" ht="14.25" x14ac:dyDescent="0.15">
      <c r="A19" s="135"/>
      <c r="B19" s="27" t="s">
        <v>7</v>
      </c>
      <c r="C19" s="28" t="s">
        <v>46</v>
      </c>
      <c r="D19" s="29">
        <v>-2</v>
      </c>
      <c r="E19" s="135"/>
      <c r="F19" s="27" t="s">
        <v>7</v>
      </c>
      <c r="G19" s="28" t="s">
        <v>46</v>
      </c>
      <c r="H19" s="29">
        <v>-2</v>
      </c>
      <c r="I19" s="138"/>
      <c r="J19" s="27" t="s">
        <v>7</v>
      </c>
      <c r="K19" s="28" t="s">
        <v>46</v>
      </c>
      <c r="L19" s="29">
        <v>-2</v>
      </c>
      <c r="M19" s="135"/>
      <c r="N19" s="27" t="s">
        <v>7</v>
      </c>
      <c r="O19" s="28" t="s">
        <v>46</v>
      </c>
      <c r="P19" s="29">
        <v>-2</v>
      </c>
      <c r="Q19" s="135"/>
      <c r="R19" s="9" t="s">
        <v>7</v>
      </c>
      <c r="S19" s="4" t="s">
        <v>46</v>
      </c>
      <c r="T19" s="10">
        <v>-2</v>
      </c>
      <c r="U19" s="135"/>
      <c r="V19" s="9" t="s">
        <v>7</v>
      </c>
      <c r="W19" s="4" t="s">
        <v>46</v>
      </c>
      <c r="X19" s="10">
        <v>-2</v>
      </c>
      <c r="Y19" s="109"/>
      <c r="Z19" s="159"/>
      <c r="AA19" s="159"/>
      <c r="AB19" s="159"/>
      <c r="AC19" s="159"/>
      <c r="AD19" s="159"/>
      <c r="AE19" s="159"/>
      <c r="AF19" s="159"/>
      <c r="AG19" s="20"/>
      <c r="AH19" s="20"/>
      <c r="AI19" s="20"/>
      <c r="AJ19" s="20"/>
      <c r="AK19" s="20"/>
      <c r="AL19" s="20"/>
      <c r="AM19" s="20"/>
      <c r="AN19" s="20"/>
      <c r="AO19" s="20"/>
      <c r="AP19" s="20"/>
    </row>
    <row r="20" spans="1:42" ht="14.25" x14ac:dyDescent="0.15">
      <c r="A20" s="135"/>
      <c r="B20" s="27" t="s">
        <v>8</v>
      </c>
      <c r="C20" s="28" t="s">
        <v>47</v>
      </c>
      <c r="D20" s="29">
        <v>-2</v>
      </c>
      <c r="E20" s="136"/>
      <c r="F20" s="27" t="s">
        <v>8</v>
      </c>
      <c r="G20" s="28" t="s">
        <v>47</v>
      </c>
      <c r="H20" s="29">
        <v>-2</v>
      </c>
      <c r="I20" s="138"/>
      <c r="J20" s="27" t="s">
        <v>8</v>
      </c>
      <c r="K20" s="28" t="s">
        <v>47</v>
      </c>
      <c r="L20" s="29">
        <v>-2</v>
      </c>
      <c r="M20" s="135"/>
      <c r="N20" s="27" t="s">
        <v>8</v>
      </c>
      <c r="O20" s="28" t="s">
        <v>47</v>
      </c>
      <c r="P20" s="29">
        <v>13</v>
      </c>
      <c r="Q20" s="135"/>
      <c r="R20" s="9" t="s">
        <v>8</v>
      </c>
      <c r="S20" s="4" t="s">
        <v>47</v>
      </c>
      <c r="T20" s="10">
        <v>13</v>
      </c>
      <c r="U20" s="135"/>
      <c r="V20" s="9" t="s">
        <v>8</v>
      </c>
      <c r="W20" s="4" t="s">
        <v>47</v>
      </c>
      <c r="X20" s="10">
        <v>-2</v>
      </c>
      <c r="Y20" s="109"/>
      <c r="Z20" s="159"/>
      <c r="AA20" s="159"/>
      <c r="AB20" s="159"/>
      <c r="AC20" s="159"/>
      <c r="AD20" s="159"/>
      <c r="AE20" s="159"/>
      <c r="AF20" s="227"/>
      <c r="AG20" s="20"/>
      <c r="AH20" s="20"/>
      <c r="AI20" s="20"/>
      <c r="AJ20" s="20"/>
      <c r="AK20" s="20"/>
      <c r="AL20" s="20"/>
      <c r="AM20" s="20"/>
      <c r="AN20" s="20"/>
      <c r="AO20" s="20"/>
      <c r="AP20" s="20"/>
    </row>
    <row r="21" spans="1:42" ht="14.25" x14ac:dyDescent="0.15">
      <c r="A21" s="135"/>
      <c r="B21" s="27" t="s">
        <v>9</v>
      </c>
      <c r="C21" s="28" t="s">
        <v>48</v>
      </c>
      <c r="D21" s="29">
        <f>D18+D19+D20</f>
        <v>-4.9691001300805642</v>
      </c>
      <c r="E21" s="135"/>
      <c r="F21" s="27" t="s">
        <v>9</v>
      </c>
      <c r="G21" s="28" t="s">
        <v>48</v>
      </c>
      <c r="H21" s="29">
        <f>H18+H19+H20</f>
        <v>-4.9691001300805642</v>
      </c>
      <c r="I21" s="138"/>
      <c r="J21" s="27" t="s">
        <v>9</v>
      </c>
      <c r="K21" s="28" t="s">
        <v>48</v>
      </c>
      <c r="L21" s="29">
        <f>L18+L19+L20</f>
        <v>-14</v>
      </c>
      <c r="M21" s="135"/>
      <c r="N21" s="27" t="s">
        <v>9</v>
      </c>
      <c r="O21" s="28" t="s">
        <v>48</v>
      </c>
      <c r="P21" s="29">
        <f>P18+P19+P20</f>
        <v>27.989700043360187</v>
      </c>
      <c r="Q21" s="135"/>
      <c r="R21" s="9" t="s">
        <v>9</v>
      </c>
      <c r="S21" s="4" t="s">
        <v>48</v>
      </c>
      <c r="T21" s="10">
        <f>T18+T19+T20</f>
        <v>21</v>
      </c>
      <c r="U21" s="135"/>
      <c r="V21" s="9" t="s">
        <v>9</v>
      </c>
      <c r="W21" s="4" t="s">
        <v>48</v>
      </c>
      <c r="X21" s="10">
        <f>X18+X19+X20</f>
        <v>-7.9794000867203758</v>
      </c>
      <c r="Y21" s="109"/>
      <c r="Z21" s="159"/>
      <c r="AA21" s="159"/>
      <c r="AB21" s="159"/>
      <c r="AC21" s="229"/>
      <c r="AD21" s="229"/>
      <c r="AE21" s="159"/>
      <c r="AF21" s="227"/>
      <c r="AG21" s="20"/>
      <c r="AH21" s="20"/>
      <c r="AI21" s="20"/>
      <c r="AJ21" s="20"/>
      <c r="AK21" s="20"/>
      <c r="AL21" s="20"/>
      <c r="AM21" s="20"/>
      <c r="AN21" s="20"/>
      <c r="AO21" s="20"/>
      <c r="AP21" s="20"/>
    </row>
    <row r="22" spans="1:42" ht="15" thickBot="1" x14ac:dyDescent="0.2">
      <c r="A22" s="135"/>
      <c r="B22" s="120" t="s">
        <v>20</v>
      </c>
      <c r="C22" s="121" t="s">
        <v>49</v>
      </c>
      <c r="D22" s="124">
        <v>0</v>
      </c>
      <c r="E22" s="135"/>
      <c r="F22" s="120" t="s">
        <v>20</v>
      </c>
      <c r="G22" s="121" t="s">
        <v>49</v>
      </c>
      <c r="H22" s="124">
        <v>0</v>
      </c>
      <c r="I22" s="138"/>
      <c r="J22" s="120" t="s">
        <v>20</v>
      </c>
      <c r="K22" s="121" t="s">
        <v>49</v>
      </c>
      <c r="L22" s="124">
        <v>0</v>
      </c>
      <c r="M22" s="135"/>
      <c r="N22" s="120" t="s">
        <v>20</v>
      </c>
      <c r="O22" s="121" t="s">
        <v>49</v>
      </c>
      <c r="P22" s="124">
        <v>0</v>
      </c>
      <c r="Q22" s="135"/>
      <c r="R22" s="13" t="s">
        <v>20</v>
      </c>
      <c r="S22" s="14" t="s">
        <v>49</v>
      </c>
      <c r="T22" s="16">
        <v>0</v>
      </c>
      <c r="U22" s="135"/>
      <c r="V22" s="13" t="s">
        <v>20</v>
      </c>
      <c r="W22" s="14" t="s">
        <v>49</v>
      </c>
      <c r="X22" s="16">
        <v>0</v>
      </c>
      <c r="Y22" s="109"/>
      <c r="Z22" s="159"/>
      <c r="AA22" s="159"/>
      <c r="AB22" s="159"/>
      <c r="AC22" s="231"/>
      <c r="AD22" s="231"/>
      <c r="AE22" s="159"/>
      <c r="AF22" s="227"/>
      <c r="AG22" s="20"/>
      <c r="AH22" s="20"/>
      <c r="AI22" s="20"/>
      <c r="AJ22" s="20"/>
      <c r="AK22" s="20"/>
      <c r="AL22" s="20"/>
      <c r="AM22" s="20"/>
      <c r="AN22" s="20"/>
      <c r="AO22" s="20"/>
      <c r="AP22" s="20"/>
    </row>
    <row r="23" spans="1:42" ht="14.25" thickBot="1" x14ac:dyDescent="0.2">
      <c r="A23" s="135"/>
      <c r="B23" s="109"/>
      <c r="C23" s="109"/>
      <c r="D23" s="109"/>
      <c r="E23" s="135"/>
      <c r="F23" s="109"/>
      <c r="G23" s="109"/>
      <c r="H23" s="109"/>
      <c r="I23" s="135"/>
      <c r="J23" s="109"/>
      <c r="K23" s="109"/>
      <c r="L23" s="109"/>
      <c r="M23" s="135"/>
      <c r="N23" s="109"/>
      <c r="O23" s="109"/>
      <c r="P23" s="109"/>
      <c r="Q23" s="135"/>
      <c r="U23" s="135"/>
      <c r="Y23" s="109"/>
      <c r="Z23" s="159"/>
      <c r="AA23" s="159"/>
      <c r="AB23" s="159"/>
      <c r="AC23" s="159"/>
      <c r="AD23" s="159"/>
      <c r="AE23" s="159"/>
      <c r="AF23" s="227"/>
      <c r="AG23" s="20"/>
      <c r="AH23" s="20"/>
      <c r="AI23" s="20"/>
      <c r="AJ23" s="20"/>
      <c r="AK23" s="20"/>
      <c r="AL23" s="20"/>
      <c r="AM23" s="20"/>
      <c r="AN23" s="20"/>
      <c r="AO23" s="20"/>
      <c r="AP23" s="20"/>
    </row>
    <row r="24" spans="1:42" ht="13.5" x14ac:dyDescent="0.15">
      <c r="A24" s="135"/>
      <c r="B24" s="189" t="s">
        <v>11</v>
      </c>
      <c r="C24" s="190"/>
      <c r="D24" s="191"/>
      <c r="E24" s="135"/>
      <c r="F24" s="189" t="s">
        <v>11</v>
      </c>
      <c r="G24" s="190"/>
      <c r="H24" s="191"/>
      <c r="I24" s="142"/>
      <c r="J24" s="189" t="s">
        <v>11</v>
      </c>
      <c r="K24" s="190"/>
      <c r="L24" s="191"/>
      <c r="M24" s="135"/>
      <c r="N24" s="189" t="s">
        <v>11</v>
      </c>
      <c r="O24" s="190"/>
      <c r="P24" s="191"/>
      <c r="Q24" s="135"/>
      <c r="R24" s="177" t="s">
        <v>11</v>
      </c>
      <c r="S24" s="178"/>
      <c r="T24" s="179"/>
      <c r="U24" s="135"/>
      <c r="V24" s="189" t="s">
        <v>11</v>
      </c>
      <c r="W24" s="190"/>
      <c r="X24" s="191"/>
      <c r="Y24" s="109"/>
      <c r="Z24" s="159"/>
      <c r="AA24" s="159"/>
      <c r="AB24" s="159"/>
      <c r="AC24" s="159"/>
      <c r="AD24" s="159"/>
      <c r="AE24" s="159"/>
      <c r="AF24" s="227"/>
      <c r="AG24" s="20"/>
      <c r="AH24" s="20"/>
      <c r="AI24" s="20"/>
      <c r="AJ24" s="20"/>
      <c r="AK24" s="20"/>
      <c r="AL24" s="20"/>
      <c r="AM24" s="20"/>
      <c r="AN24" s="20"/>
      <c r="AO24" s="20"/>
      <c r="AP24" s="20"/>
    </row>
    <row r="25" spans="1:42" ht="14.25" x14ac:dyDescent="0.15">
      <c r="A25" s="135"/>
      <c r="B25" s="27" t="s">
        <v>12</v>
      </c>
      <c r="C25" s="28" t="s">
        <v>55</v>
      </c>
      <c r="D25" s="125">
        <f>-(20*LOG(4*PI()*D16*10^6*D11/(D12*10^-3)))</f>
        <v>-151.46387130736917</v>
      </c>
      <c r="E25" s="135"/>
      <c r="F25" s="27" t="s">
        <v>12</v>
      </c>
      <c r="G25" s="28" t="s">
        <v>55</v>
      </c>
      <c r="H25" s="125">
        <f>-(20*LOG(4*PI()*H16*10^6*H11/(H12*10^-3)))</f>
        <v>-151.60413093518591</v>
      </c>
      <c r="I25" s="143"/>
      <c r="J25" s="27" t="s">
        <v>12</v>
      </c>
      <c r="K25" s="28" t="s">
        <v>55</v>
      </c>
      <c r="L25" s="125">
        <f>-(20*LOG(4*PI()*L16*10^6*L11/(L12*10^-3)))</f>
        <v>-151.46387130736917</v>
      </c>
      <c r="M25" s="135"/>
      <c r="N25" s="27" t="s">
        <v>12</v>
      </c>
      <c r="O25" s="28" t="s">
        <v>55</v>
      </c>
      <c r="P25" s="125">
        <f>-(20*LOG(4*PI()*P16*10^6*P11/(P12*10^-3)))</f>
        <v>-141.96175203768246</v>
      </c>
      <c r="Q25" s="135"/>
      <c r="R25" s="9" t="s">
        <v>12</v>
      </c>
      <c r="S25" s="4" t="s">
        <v>55</v>
      </c>
      <c r="T25" s="17">
        <f>-(20*LOG(4*PI()*T16*10^6*T11/(T12*10^-3)))</f>
        <v>-141.96175203768246</v>
      </c>
      <c r="U25" s="135"/>
      <c r="V25" s="27" t="s">
        <v>12</v>
      </c>
      <c r="W25" s="28" t="s">
        <v>55</v>
      </c>
      <c r="X25" s="125">
        <f>-(20*LOG(4*PI()*X16*10^6*X11/(X12*10^-3)))</f>
        <v>-148.08023753945224</v>
      </c>
      <c r="Y25" s="109"/>
      <c r="Z25" s="159"/>
      <c r="AA25" s="159"/>
      <c r="AB25" s="159"/>
      <c r="AC25" s="159"/>
      <c r="AD25" s="159"/>
      <c r="AE25" s="159"/>
      <c r="AF25" s="227"/>
      <c r="AG25" s="20"/>
      <c r="AH25" s="20"/>
      <c r="AI25" s="20"/>
      <c r="AJ25" s="20"/>
      <c r="AK25" s="20"/>
      <c r="AL25" s="20"/>
      <c r="AM25" s="20"/>
      <c r="AN25" s="20"/>
      <c r="AO25" s="20"/>
      <c r="AP25" s="20"/>
    </row>
    <row r="26" spans="1:42" ht="14.25" x14ac:dyDescent="0.15">
      <c r="A26" s="135"/>
      <c r="B26" s="27" t="s">
        <v>13</v>
      </c>
      <c r="C26" s="28" t="s">
        <v>50</v>
      </c>
      <c r="D26" s="29">
        <v>-3</v>
      </c>
      <c r="E26" s="135"/>
      <c r="F26" s="27" t="s">
        <v>13</v>
      </c>
      <c r="G26" s="28" t="s">
        <v>50</v>
      </c>
      <c r="H26" s="29">
        <v>-3</v>
      </c>
      <c r="I26" s="138"/>
      <c r="J26" s="27" t="s">
        <v>13</v>
      </c>
      <c r="K26" s="28" t="s">
        <v>50</v>
      </c>
      <c r="L26" s="29">
        <v>-3</v>
      </c>
      <c r="M26" s="135"/>
      <c r="N26" s="27" t="s">
        <v>13</v>
      </c>
      <c r="O26" s="28" t="s">
        <v>50</v>
      </c>
      <c r="P26" s="29">
        <v>-3</v>
      </c>
      <c r="Q26" s="135"/>
      <c r="R26" s="9" t="s">
        <v>13</v>
      </c>
      <c r="S26" s="4" t="s">
        <v>50</v>
      </c>
      <c r="T26" s="10">
        <v>-3</v>
      </c>
      <c r="U26" s="135"/>
      <c r="V26" s="27" t="s">
        <v>13</v>
      </c>
      <c r="W26" s="28" t="s">
        <v>50</v>
      </c>
      <c r="X26" s="29">
        <v>-3</v>
      </c>
      <c r="Y26" s="109"/>
      <c r="Z26" s="159"/>
      <c r="AA26" s="159"/>
      <c r="AB26" s="159"/>
      <c r="AC26" s="229"/>
      <c r="AD26" s="229"/>
      <c r="AE26" s="159"/>
      <c r="AF26" s="159"/>
      <c r="AG26" s="20"/>
      <c r="AH26" s="20"/>
      <c r="AI26" s="20"/>
      <c r="AJ26" s="20"/>
      <c r="AK26" s="20"/>
      <c r="AL26" s="20"/>
      <c r="AM26" s="20"/>
      <c r="AN26" s="20"/>
      <c r="AO26" s="20"/>
      <c r="AP26" s="20"/>
    </row>
    <row r="27" spans="1:42" ht="14.25" x14ac:dyDescent="0.15">
      <c r="A27" s="135"/>
      <c r="B27" s="27" t="s">
        <v>14</v>
      </c>
      <c r="C27" s="28" t="s">
        <v>51</v>
      </c>
      <c r="D27" s="29">
        <v>0</v>
      </c>
      <c r="E27" s="135"/>
      <c r="F27" s="27" t="s">
        <v>14</v>
      </c>
      <c r="G27" s="28" t="s">
        <v>51</v>
      </c>
      <c r="H27" s="29">
        <v>0</v>
      </c>
      <c r="I27" s="138"/>
      <c r="J27" s="27" t="s">
        <v>14</v>
      </c>
      <c r="K27" s="28" t="s">
        <v>51</v>
      </c>
      <c r="L27" s="29">
        <v>0</v>
      </c>
      <c r="M27" s="135"/>
      <c r="N27" s="27" t="s">
        <v>14</v>
      </c>
      <c r="O27" s="28" t="s">
        <v>51</v>
      </c>
      <c r="P27" s="29">
        <v>0</v>
      </c>
      <c r="Q27" s="135"/>
      <c r="R27" s="9" t="s">
        <v>14</v>
      </c>
      <c r="S27" s="4" t="s">
        <v>51</v>
      </c>
      <c r="T27" s="10">
        <v>0</v>
      </c>
      <c r="U27" s="135"/>
      <c r="V27" s="27" t="s">
        <v>14</v>
      </c>
      <c r="W27" s="28" t="s">
        <v>51</v>
      </c>
      <c r="X27" s="29">
        <v>0</v>
      </c>
      <c r="Y27" s="109"/>
      <c r="Z27" s="159"/>
      <c r="AA27" s="159"/>
      <c r="AB27" s="159"/>
      <c r="AC27" s="159"/>
      <c r="AD27" s="159"/>
      <c r="AE27" s="159"/>
      <c r="AF27" s="227"/>
      <c r="AG27" s="20"/>
      <c r="AH27" s="20"/>
      <c r="AI27" s="20"/>
      <c r="AJ27" s="20"/>
      <c r="AK27" s="20"/>
      <c r="AL27" s="20"/>
      <c r="AM27" s="20"/>
      <c r="AN27" s="20"/>
      <c r="AO27" s="20"/>
      <c r="AP27" s="20"/>
    </row>
    <row r="28" spans="1:42" ht="14.25" x14ac:dyDescent="0.15">
      <c r="A28" s="135"/>
      <c r="B28" s="27" t="s">
        <v>15</v>
      </c>
      <c r="C28" s="28" t="s">
        <v>52</v>
      </c>
      <c r="D28" s="29">
        <v>0</v>
      </c>
      <c r="E28" s="135"/>
      <c r="F28" s="27" t="s">
        <v>15</v>
      </c>
      <c r="G28" s="28" t="s">
        <v>52</v>
      </c>
      <c r="H28" s="29">
        <v>0</v>
      </c>
      <c r="I28" s="138"/>
      <c r="J28" s="27" t="s">
        <v>15</v>
      </c>
      <c r="K28" s="28" t="s">
        <v>52</v>
      </c>
      <c r="L28" s="29">
        <v>0</v>
      </c>
      <c r="M28" s="135"/>
      <c r="N28" s="27" t="s">
        <v>15</v>
      </c>
      <c r="O28" s="28" t="s">
        <v>52</v>
      </c>
      <c r="P28" s="29">
        <v>0</v>
      </c>
      <c r="Q28" s="135"/>
      <c r="R28" s="9" t="s">
        <v>15</v>
      </c>
      <c r="S28" s="4" t="s">
        <v>52</v>
      </c>
      <c r="T28" s="10">
        <v>0</v>
      </c>
      <c r="U28" s="135"/>
      <c r="V28" s="27" t="s">
        <v>15</v>
      </c>
      <c r="W28" s="28" t="s">
        <v>52</v>
      </c>
      <c r="X28" s="29">
        <v>0</v>
      </c>
      <c r="Y28" s="109"/>
      <c r="Z28" s="159"/>
      <c r="AA28" s="159"/>
      <c r="AB28" s="159"/>
      <c r="AC28" s="159"/>
      <c r="AD28" s="159"/>
      <c r="AE28" s="159"/>
      <c r="AF28" s="227"/>
      <c r="AG28" s="20"/>
      <c r="AH28" s="20"/>
      <c r="AI28" s="20"/>
      <c r="AJ28" s="20"/>
      <c r="AK28" s="20"/>
      <c r="AL28" s="20"/>
      <c r="AM28" s="20"/>
      <c r="AN28" s="20"/>
      <c r="AO28" s="20"/>
      <c r="AP28" s="20"/>
    </row>
    <row r="29" spans="1:42" ht="14.25" x14ac:dyDescent="0.15">
      <c r="A29" s="135"/>
      <c r="B29" s="27" t="s">
        <v>16</v>
      </c>
      <c r="C29" s="28" t="s">
        <v>53</v>
      </c>
      <c r="D29" s="29">
        <v>0</v>
      </c>
      <c r="E29" s="135"/>
      <c r="F29" s="27" t="s">
        <v>16</v>
      </c>
      <c r="G29" s="28" t="s">
        <v>53</v>
      </c>
      <c r="H29" s="29">
        <v>0</v>
      </c>
      <c r="I29" s="138"/>
      <c r="J29" s="27" t="s">
        <v>16</v>
      </c>
      <c r="K29" s="28" t="s">
        <v>53</v>
      </c>
      <c r="L29" s="29">
        <v>0</v>
      </c>
      <c r="M29" s="135"/>
      <c r="N29" s="27" t="s">
        <v>16</v>
      </c>
      <c r="O29" s="28" t="s">
        <v>53</v>
      </c>
      <c r="P29" s="29">
        <v>0</v>
      </c>
      <c r="Q29" s="135"/>
      <c r="R29" s="9" t="s">
        <v>16</v>
      </c>
      <c r="S29" s="4" t="s">
        <v>53</v>
      </c>
      <c r="T29" s="10">
        <v>0</v>
      </c>
      <c r="U29" s="135"/>
      <c r="V29" s="27" t="s">
        <v>16</v>
      </c>
      <c r="W29" s="28" t="s">
        <v>53</v>
      </c>
      <c r="X29" s="29">
        <v>0</v>
      </c>
      <c r="Y29" s="109"/>
      <c r="Z29" s="159"/>
      <c r="AA29" s="159"/>
      <c r="AB29" s="159"/>
      <c r="AC29" s="229"/>
      <c r="AD29" s="229"/>
      <c r="AE29" s="159"/>
      <c r="AF29" s="228"/>
      <c r="AG29" s="20"/>
      <c r="AH29" s="20"/>
      <c r="AI29" s="20"/>
      <c r="AJ29" s="20"/>
      <c r="AK29" s="20"/>
      <c r="AL29" s="20"/>
      <c r="AM29" s="20"/>
      <c r="AN29" s="20"/>
      <c r="AO29" s="20"/>
      <c r="AP29" s="20"/>
    </row>
    <row r="30" spans="1:42" ht="15" thickBot="1" x14ac:dyDescent="0.2">
      <c r="A30" s="135"/>
      <c r="B30" s="120" t="s">
        <v>17</v>
      </c>
      <c r="C30" s="121" t="s">
        <v>54</v>
      </c>
      <c r="D30" s="124">
        <f>D25+D26+D27+D28+D29</f>
        <v>-154.46387130736917</v>
      </c>
      <c r="E30" s="135"/>
      <c r="F30" s="120" t="s">
        <v>17</v>
      </c>
      <c r="G30" s="121" t="s">
        <v>54</v>
      </c>
      <c r="H30" s="124">
        <f>H25+H26+H27+H28+H29</f>
        <v>-154.60413093518591</v>
      </c>
      <c r="I30" s="138"/>
      <c r="J30" s="120" t="s">
        <v>17</v>
      </c>
      <c r="K30" s="121" t="s">
        <v>54</v>
      </c>
      <c r="L30" s="124">
        <f>L25+L26+L27+L28+L29</f>
        <v>-154.46387130736917</v>
      </c>
      <c r="M30" s="135"/>
      <c r="N30" s="120" t="s">
        <v>17</v>
      </c>
      <c r="O30" s="121" t="s">
        <v>54</v>
      </c>
      <c r="P30" s="124">
        <f>P25+P26+P27+P28+P29</f>
        <v>-144.96175203768246</v>
      </c>
      <c r="Q30" s="135"/>
      <c r="R30" s="13" t="s">
        <v>17</v>
      </c>
      <c r="S30" s="14" t="s">
        <v>54</v>
      </c>
      <c r="T30" s="16">
        <f>T25+T26+T27+T28+T29</f>
        <v>-144.96175203768246</v>
      </c>
      <c r="U30" s="135"/>
      <c r="V30" s="120" t="s">
        <v>17</v>
      </c>
      <c r="W30" s="121" t="s">
        <v>54</v>
      </c>
      <c r="X30" s="124">
        <f>X25+X26+X27+X28+X29</f>
        <v>-151.08023753945224</v>
      </c>
      <c r="Y30" s="109"/>
      <c r="Z30" s="159"/>
      <c r="AA30" s="159"/>
      <c r="AB30" s="159"/>
      <c r="AC30" s="229"/>
      <c r="AD30" s="229"/>
      <c r="AE30" s="159"/>
      <c r="AF30" s="159"/>
      <c r="AG30" s="20"/>
      <c r="AH30" s="20"/>
      <c r="AI30" s="20"/>
      <c r="AJ30" s="20"/>
      <c r="AK30" s="20"/>
      <c r="AL30" s="20"/>
      <c r="AM30" s="20"/>
      <c r="AN30" s="20"/>
      <c r="AO30" s="20"/>
      <c r="AP30" s="20"/>
    </row>
    <row r="31" spans="1:42" ht="14.25" thickBot="1" x14ac:dyDescent="0.2">
      <c r="A31" s="135"/>
      <c r="B31" s="109"/>
      <c r="C31" s="109"/>
      <c r="D31" s="109"/>
      <c r="E31" s="135"/>
      <c r="F31" s="109"/>
      <c r="G31" s="109"/>
      <c r="H31" s="109"/>
      <c r="I31" s="135"/>
      <c r="J31" s="109"/>
      <c r="K31" s="109"/>
      <c r="L31" s="109"/>
      <c r="M31" s="135"/>
      <c r="N31" s="109"/>
      <c r="O31" s="109"/>
      <c r="P31" s="109"/>
      <c r="Q31" s="135"/>
      <c r="U31" s="135"/>
      <c r="V31" s="109"/>
      <c r="W31" s="109"/>
      <c r="X31" s="109"/>
      <c r="Y31" s="109"/>
      <c r="Z31" s="159"/>
      <c r="AA31" s="159"/>
      <c r="AB31" s="159"/>
      <c r="AC31" s="159"/>
      <c r="AD31" s="159"/>
      <c r="AE31" s="159"/>
      <c r="AF31" s="159"/>
      <c r="AG31" s="20"/>
      <c r="AH31" s="20"/>
      <c r="AI31" s="20"/>
      <c r="AJ31" s="20"/>
      <c r="AK31" s="20"/>
      <c r="AL31" s="20"/>
      <c r="AM31" s="20"/>
      <c r="AN31" s="20"/>
      <c r="AO31" s="20"/>
      <c r="AP31" s="20"/>
    </row>
    <row r="32" spans="1:42" ht="13.5" x14ac:dyDescent="0.15">
      <c r="A32" s="135"/>
      <c r="B32" s="189" t="s">
        <v>18</v>
      </c>
      <c r="C32" s="190"/>
      <c r="D32" s="191"/>
      <c r="E32" s="135"/>
      <c r="F32" s="189" t="s">
        <v>18</v>
      </c>
      <c r="G32" s="190"/>
      <c r="H32" s="191"/>
      <c r="I32" s="142"/>
      <c r="J32" s="189" t="s">
        <v>18</v>
      </c>
      <c r="K32" s="190"/>
      <c r="L32" s="191"/>
      <c r="M32" s="135"/>
      <c r="N32" s="189" t="s">
        <v>115</v>
      </c>
      <c r="O32" s="190"/>
      <c r="P32" s="191"/>
      <c r="Q32" s="135"/>
      <c r="R32" s="177" t="s">
        <v>115</v>
      </c>
      <c r="S32" s="178"/>
      <c r="T32" s="179"/>
      <c r="U32" s="135"/>
      <c r="V32" s="189" t="s">
        <v>18</v>
      </c>
      <c r="W32" s="190"/>
      <c r="X32" s="191"/>
      <c r="Y32" s="109"/>
      <c r="Z32" s="159"/>
      <c r="AA32" s="159"/>
      <c r="AB32" s="159"/>
      <c r="AC32" s="229"/>
      <c r="AD32" s="229"/>
      <c r="AE32" s="159"/>
      <c r="AF32" s="159"/>
      <c r="AG32" s="20"/>
      <c r="AH32" s="20"/>
      <c r="AI32" s="20"/>
      <c r="AJ32" s="20"/>
      <c r="AK32" s="20"/>
      <c r="AL32" s="20"/>
      <c r="AM32" s="20"/>
      <c r="AN32" s="20"/>
      <c r="AO32" s="20"/>
      <c r="AP32" s="20"/>
    </row>
    <row r="33" spans="1:42" ht="13.5" x14ac:dyDescent="0.15">
      <c r="A33" s="135"/>
      <c r="B33" s="126" t="s">
        <v>239</v>
      </c>
      <c r="C33" s="187" t="s">
        <v>205</v>
      </c>
      <c r="D33" s="188"/>
      <c r="E33" s="135"/>
      <c r="F33" s="126" t="s">
        <v>239</v>
      </c>
      <c r="G33" s="187" t="s">
        <v>205</v>
      </c>
      <c r="H33" s="188"/>
      <c r="I33" s="142"/>
      <c r="J33" s="126" t="s">
        <v>239</v>
      </c>
      <c r="K33" s="187" t="s">
        <v>205</v>
      </c>
      <c r="L33" s="188"/>
      <c r="M33" s="135"/>
      <c r="N33" s="126" t="s">
        <v>239</v>
      </c>
      <c r="O33" s="187" t="s">
        <v>206</v>
      </c>
      <c r="P33" s="188"/>
      <c r="Q33" s="135"/>
      <c r="R33" s="56" t="s">
        <v>239</v>
      </c>
      <c r="S33" s="180" t="s">
        <v>206</v>
      </c>
      <c r="T33" s="181"/>
      <c r="U33" s="135"/>
      <c r="V33" s="126" t="s">
        <v>239</v>
      </c>
      <c r="W33" s="187" t="s">
        <v>205</v>
      </c>
      <c r="X33" s="188"/>
      <c r="Y33" s="109"/>
      <c r="Z33" s="159"/>
      <c r="AA33" s="159"/>
      <c r="AB33" s="159"/>
      <c r="AC33" s="159"/>
      <c r="AD33" s="159"/>
      <c r="AE33" s="159"/>
      <c r="AF33" s="227"/>
      <c r="AG33" s="20"/>
      <c r="AH33" s="20"/>
      <c r="AI33" s="20"/>
      <c r="AJ33" s="20"/>
      <c r="AK33" s="20"/>
      <c r="AL33" s="20"/>
      <c r="AM33" s="20"/>
      <c r="AN33" s="20"/>
      <c r="AO33" s="20"/>
      <c r="AP33" s="20"/>
    </row>
    <row r="34" spans="1:42" ht="14.25" x14ac:dyDescent="0.15">
      <c r="A34" s="135"/>
      <c r="B34" s="27" t="s">
        <v>19</v>
      </c>
      <c r="C34" s="28" t="s">
        <v>56</v>
      </c>
      <c r="D34" s="29">
        <v>0</v>
      </c>
      <c r="E34" s="135"/>
      <c r="F34" s="27" t="s">
        <v>19</v>
      </c>
      <c r="G34" s="28" t="s">
        <v>56</v>
      </c>
      <c r="H34" s="29">
        <v>0</v>
      </c>
      <c r="I34" s="138"/>
      <c r="J34" s="27" t="s">
        <v>19</v>
      </c>
      <c r="K34" s="28" t="s">
        <v>56</v>
      </c>
      <c r="L34" s="29">
        <v>0</v>
      </c>
      <c r="M34" s="135"/>
      <c r="N34" s="27" t="s">
        <v>19</v>
      </c>
      <c r="O34" s="28" t="s">
        <v>56</v>
      </c>
      <c r="P34" s="29">
        <v>0</v>
      </c>
      <c r="Q34" s="135"/>
      <c r="R34" s="9" t="s">
        <v>19</v>
      </c>
      <c r="S34" s="4" t="s">
        <v>56</v>
      </c>
      <c r="T34" s="10">
        <v>0</v>
      </c>
      <c r="U34" s="135"/>
      <c r="V34" s="27" t="s">
        <v>19</v>
      </c>
      <c r="W34" s="28" t="s">
        <v>56</v>
      </c>
      <c r="X34" s="29">
        <v>0</v>
      </c>
      <c r="Y34" s="109"/>
      <c r="Z34" s="159"/>
      <c r="AA34" s="159"/>
      <c r="AB34" s="159"/>
      <c r="AC34" s="159"/>
      <c r="AD34" s="159"/>
      <c r="AE34" s="159"/>
      <c r="AF34" s="227"/>
      <c r="AG34" s="20"/>
      <c r="AH34" s="20"/>
      <c r="AI34" s="20"/>
      <c r="AJ34" s="20"/>
      <c r="AK34" s="20"/>
      <c r="AL34" s="20"/>
      <c r="AM34" s="20"/>
      <c r="AN34" s="20"/>
      <c r="AO34" s="20"/>
      <c r="AP34" s="20"/>
    </row>
    <row r="35" spans="1:42" ht="14.25" x14ac:dyDescent="0.15">
      <c r="A35" s="135"/>
      <c r="B35" s="27" t="s">
        <v>21</v>
      </c>
      <c r="C35" s="28" t="s">
        <v>57</v>
      </c>
      <c r="D35" s="29">
        <v>18.5</v>
      </c>
      <c r="E35" s="135"/>
      <c r="F35" s="27" t="s">
        <v>330</v>
      </c>
      <c r="G35" s="28" t="s">
        <v>57</v>
      </c>
      <c r="H35" s="29">
        <v>18.5</v>
      </c>
      <c r="I35" s="138"/>
      <c r="J35" s="27" t="s">
        <v>21</v>
      </c>
      <c r="K35" s="28" t="s">
        <v>57</v>
      </c>
      <c r="L35" s="29">
        <v>18.5</v>
      </c>
      <c r="M35" s="135"/>
      <c r="N35" s="27" t="s">
        <v>21</v>
      </c>
      <c r="O35" s="28" t="s">
        <v>57</v>
      </c>
      <c r="P35" s="29">
        <v>0</v>
      </c>
      <c r="Q35" s="135"/>
      <c r="R35" s="9" t="s">
        <v>21</v>
      </c>
      <c r="S35" s="4" t="s">
        <v>57</v>
      </c>
      <c r="T35" s="10">
        <v>0</v>
      </c>
      <c r="U35" s="135"/>
      <c r="V35" s="144" t="s">
        <v>21</v>
      </c>
      <c r="W35" s="145" t="s">
        <v>57</v>
      </c>
      <c r="X35" s="146">
        <v>18.5</v>
      </c>
      <c r="Y35" s="109"/>
      <c r="Z35" s="159"/>
      <c r="AA35" s="159"/>
      <c r="AB35" s="159"/>
      <c r="AC35" s="159"/>
      <c r="AD35" s="159"/>
      <c r="AE35" s="159"/>
      <c r="AF35" s="227"/>
      <c r="AG35" s="20"/>
      <c r="AH35" s="20"/>
      <c r="AI35" s="20"/>
      <c r="AJ35" s="20"/>
      <c r="AK35" s="20"/>
      <c r="AL35" s="20"/>
      <c r="AM35" s="20"/>
      <c r="AN35" s="20"/>
      <c r="AO35" s="20"/>
      <c r="AP35" s="20"/>
    </row>
    <row r="36" spans="1:42" ht="14.25" x14ac:dyDescent="0.15">
      <c r="A36" s="135"/>
      <c r="B36" s="27" t="s">
        <v>22</v>
      </c>
      <c r="C36" s="28" t="s">
        <v>58</v>
      </c>
      <c r="D36" s="29">
        <v>-2</v>
      </c>
      <c r="E36" s="135"/>
      <c r="F36" s="27" t="s">
        <v>22</v>
      </c>
      <c r="G36" s="28" t="s">
        <v>58</v>
      </c>
      <c r="H36" s="29">
        <v>-2</v>
      </c>
      <c r="I36" s="138"/>
      <c r="J36" s="27" t="s">
        <v>22</v>
      </c>
      <c r="K36" s="28" t="s">
        <v>58</v>
      </c>
      <c r="L36" s="29">
        <v>-2</v>
      </c>
      <c r="M36" s="135"/>
      <c r="N36" s="27" t="s">
        <v>22</v>
      </c>
      <c r="O36" s="28" t="s">
        <v>58</v>
      </c>
      <c r="P36" s="29">
        <v>-2</v>
      </c>
      <c r="Q36" s="135"/>
      <c r="R36" s="9" t="s">
        <v>22</v>
      </c>
      <c r="S36" s="4" t="s">
        <v>58</v>
      </c>
      <c r="T36" s="10">
        <v>-2</v>
      </c>
      <c r="U36" s="135"/>
      <c r="V36" s="27" t="s">
        <v>22</v>
      </c>
      <c r="W36" s="28" t="s">
        <v>58</v>
      </c>
      <c r="X36" s="29">
        <v>-2</v>
      </c>
      <c r="Y36" s="109"/>
      <c r="Z36" s="159"/>
      <c r="AA36" s="159"/>
      <c r="AB36" s="159"/>
      <c r="AC36" s="230"/>
      <c r="AD36" s="230"/>
      <c r="AE36" s="159"/>
      <c r="AF36" s="227"/>
      <c r="AG36" s="20"/>
      <c r="AH36" s="20"/>
      <c r="AI36" s="20"/>
      <c r="AJ36" s="20"/>
      <c r="AK36" s="20"/>
      <c r="AL36" s="20"/>
      <c r="AM36" s="20"/>
      <c r="AN36" s="20"/>
      <c r="AO36" s="20"/>
      <c r="AP36" s="20"/>
    </row>
    <row r="37" spans="1:42" ht="13.5" x14ac:dyDescent="0.15">
      <c r="A37" s="135"/>
      <c r="B37" s="27" t="s">
        <v>86</v>
      </c>
      <c r="C37" s="28" t="s">
        <v>87</v>
      </c>
      <c r="D37" s="29">
        <f>10^(-D36/10)</f>
        <v>1.5848931924611136</v>
      </c>
      <c r="E37" s="135"/>
      <c r="F37" s="27" t="s">
        <v>86</v>
      </c>
      <c r="G37" s="28" t="s">
        <v>87</v>
      </c>
      <c r="H37" s="29">
        <f>10^(-H36/10)</f>
        <v>1.5848931924611136</v>
      </c>
      <c r="I37" s="138"/>
      <c r="J37" s="27" t="s">
        <v>86</v>
      </c>
      <c r="K37" s="28" t="s">
        <v>87</v>
      </c>
      <c r="L37" s="29">
        <f>10^(-L36/10)</f>
        <v>1.5848931924611136</v>
      </c>
      <c r="M37" s="135"/>
      <c r="N37" s="27" t="s">
        <v>86</v>
      </c>
      <c r="O37" s="28" t="s">
        <v>87</v>
      </c>
      <c r="P37" s="29">
        <f>10^(-P36/10)</f>
        <v>1.5848931924611136</v>
      </c>
      <c r="Q37" s="135"/>
      <c r="R37" s="9" t="s">
        <v>86</v>
      </c>
      <c r="S37" s="4" t="s">
        <v>87</v>
      </c>
      <c r="T37" s="10">
        <f>10^(-T36/10)</f>
        <v>1.5848931924611136</v>
      </c>
      <c r="U37" s="135"/>
      <c r="V37" s="27" t="s">
        <v>86</v>
      </c>
      <c r="W37" s="28" t="s">
        <v>87</v>
      </c>
      <c r="X37" s="29">
        <f>10^(-X36/10)</f>
        <v>1.5848931924611136</v>
      </c>
      <c r="Y37" s="109"/>
      <c r="Z37" s="159"/>
      <c r="AA37" s="159"/>
      <c r="AB37" s="159"/>
      <c r="AC37" s="159"/>
      <c r="AD37" s="159"/>
      <c r="AE37" s="159"/>
      <c r="AF37" s="227"/>
      <c r="AG37" s="20"/>
      <c r="AH37" s="20"/>
      <c r="AI37" s="20"/>
      <c r="AJ37" s="20"/>
      <c r="AK37" s="20"/>
      <c r="AL37" s="20"/>
      <c r="AM37" s="20"/>
      <c r="AN37" s="20"/>
      <c r="AO37" s="20"/>
      <c r="AP37" s="20"/>
    </row>
    <row r="38" spans="1:42" ht="13.5" x14ac:dyDescent="0.15">
      <c r="A38" s="135"/>
      <c r="B38" s="144" t="s">
        <v>23</v>
      </c>
      <c r="C38" s="145" t="s">
        <v>332</v>
      </c>
      <c r="D38" s="146">
        <f>D21-D22+D30-D34+D35+D36</f>
        <v>-142.93297143744974</v>
      </c>
      <c r="E38" s="135"/>
      <c r="F38" s="144" t="s">
        <v>23</v>
      </c>
      <c r="G38" s="145" t="s">
        <v>332</v>
      </c>
      <c r="H38" s="146">
        <f>H21-H22+H30-H34+H35+H36</f>
        <v>-143.07323106526647</v>
      </c>
      <c r="I38" s="138"/>
      <c r="J38" s="144" t="s">
        <v>23</v>
      </c>
      <c r="K38" s="145" t="s">
        <v>333</v>
      </c>
      <c r="L38" s="146">
        <f>L21-L22+L30-L34+L35+L36</f>
        <v>-151.96387130736917</v>
      </c>
      <c r="M38" s="135"/>
      <c r="N38" s="144" t="s">
        <v>23</v>
      </c>
      <c r="O38" s="145" t="s">
        <v>332</v>
      </c>
      <c r="P38" s="146">
        <f>P21-P22+P30-P34+P35+P36</f>
        <v>-118.97205199432227</v>
      </c>
      <c r="Q38" s="135"/>
      <c r="R38" s="144" t="s">
        <v>23</v>
      </c>
      <c r="S38" s="145" t="s">
        <v>332</v>
      </c>
      <c r="T38" s="146">
        <f>T21-T22+T30-T34+T35+T36</f>
        <v>-125.96175203768246</v>
      </c>
      <c r="U38" s="135"/>
      <c r="V38" s="144" t="s">
        <v>23</v>
      </c>
      <c r="W38" s="145" t="s">
        <v>332</v>
      </c>
      <c r="X38" s="146">
        <f>X21-X22+X30-X34+X35+X36</f>
        <v>-142.55963762617262</v>
      </c>
      <c r="Y38" s="109"/>
      <c r="Z38" s="159"/>
      <c r="AA38" s="159"/>
      <c r="AB38" s="159"/>
      <c r="AC38" s="159"/>
      <c r="AD38" s="159"/>
      <c r="AE38" s="159"/>
      <c r="AF38" s="227"/>
      <c r="AG38" s="20"/>
      <c r="AH38" s="20"/>
      <c r="AI38" s="20"/>
      <c r="AJ38" s="20"/>
      <c r="AK38" s="20"/>
      <c r="AL38" s="20"/>
      <c r="AM38" s="20"/>
      <c r="AN38" s="20"/>
      <c r="AO38" s="20"/>
      <c r="AP38" s="20"/>
    </row>
    <row r="39" spans="1:42" ht="14.25" x14ac:dyDescent="0.15">
      <c r="A39" s="135"/>
      <c r="B39" s="27" t="s">
        <v>24</v>
      </c>
      <c r="C39" s="28" t="s">
        <v>60</v>
      </c>
      <c r="D39" s="29">
        <v>300</v>
      </c>
      <c r="E39" s="135"/>
      <c r="F39" s="27" t="s">
        <v>24</v>
      </c>
      <c r="G39" s="28" t="s">
        <v>60</v>
      </c>
      <c r="H39" s="29">
        <v>300</v>
      </c>
      <c r="I39" s="138"/>
      <c r="J39" s="27" t="s">
        <v>24</v>
      </c>
      <c r="K39" s="28" t="s">
        <v>60</v>
      </c>
      <c r="L39" s="29">
        <v>300</v>
      </c>
      <c r="M39" s="135"/>
      <c r="N39" s="27" t="s">
        <v>24</v>
      </c>
      <c r="O39" s="28" t="s">
        <v>60</v>
      </c>
      <c r="P39" s="29">
        <v>300</v>
      </c>
      <c r="Q39" s="135"/>
      <c r="R39" s="9" t="s">
        <v>24</v>
      </c>
      <c r="S39" s="4" t="s">
        <v>60</v>
      </c>
      <c r="T39" s="10">
        <v>300</v>
      </c>
      <c r="U39" s="135"/>
      <c r="V39" s="27" t="s">
        <v>24</v>
      </c>
      <c r="W39" s="28" t="s">
        <v>60</v>
      </c>
      <c r="X39" s="29">
        <v>300</v>
      </c>
      <c r="Y39" s="109"/>
      <c r="Z39" s="159"/>
      <c r="AA39" s="159"/>
      <c r="AB39" s="159"/>
      <c r="AC39" s="229"/>
      <c r="AD39" s="229"/>
      <c r="AE39" s="159"/>
      <c r="AF39" s="227"/>
      <c r="AG39" s="20"/>
      <c r="AH39" s="20"/>
      <c r="AI39" s="20"/>
      <c r="AJ39" s="20"/>
      <c r="AK39" s="20"/>
      <c r="AL39" s="20"/>
      <c r="AM39" s="20"/>
      <c r="AN39" s="20"/>
      <c r="AO39" s="20"/>
      <c r="AP39" s="20"/>
    </row>
    <row r="40" spans="1:42" ht="14.25" x14ac:dyDescent="0.15">
      <c r="A40" s="135"/>
      <c r="B40" s="27" t="s">
        <v>25</v>
      </c>
      <c r="C40" s="28" t="s">
        <v>62</v>
      </c>
      <c r="D40" s="29">
        <f>D42</f>
        <v>300</v>
      </c>
      <c r="E40" s="135"/>
      <c r="F40" s="27" t="s">
        <v>25</v>
      </c>
      <c r="G40" s="28" t="s">
        <v>62</v>
      </c>
      <c r="H40" s="29">
        <f>H42</f>
        <v>300</v>
      </c>
      <c r="I40" s="138"/>
      <c r="J40" s="27" t="s">
        <v>25</v>
      </c>
      <c r="K40" s="28" t="s">
        <v>62</v>
      </c>
      <c r="L40" s="29">
        <f>L42</f>
        <v>300</v>
      </c>
      <c r="M40" s="135"/>
      <c r="N40" s="27" t="s">
        <v>25</v>
      </c>
      <c r="O40" s="28" t="s">
        <v>62</v>
      </c>
      <c r="P40" s="29">
        <f>P42</f>
        <v>300</v>
      </c>
      <c r="Q40" s="135"/>
      <c r="R40" s="9" t="s">
        <v>25</v>
      </c>
      <c r="S40" s="4" t="s">
        <v>62</v>
      </c>
      <c r="T40" s="10">
        <f>T42</f>
        <v>300</v>
      </c>
      <c r="U40" s="135"/>
      <c r="V40" s="27" t="s">
        <v>25</v>
      </c>
      <c r="W40" s="28" t="s">
        <v>62</v>
      </c>
      <c r="X40" s="29">
        <f>X42</f>
        <v>300</v>
      </c>
      <c r="Y40" s="109"/>
      <c r="Z40" s="159"/>
      <c r="AA40" s="159"/>
      <c r="AB40" s="159"/>
      <c r="AC40" s="159"/>
      <c r="AD40" s="159"/>
      <c r="AE40" s="159"/>
      <c r="AF40" s="227"/>
      <c r="AG40" s="20"/>
      <c r="AH40" s="20"/>
      <c r="AI40" s="20"/>
      <c r="AJ40" s="20"/>
      <c r="AK40" s="20"/>
      <c r="AL40" s="20"/>
      <c r="AM40" s="20"/>
      <c r="AN40" s="20"/>
      <c r="AO40" s="20"/>
      <c r="AP40" s="20"/>
    </row>
    <row r="41" spans="1:42" ht="14.25" x14ac:dyDescent="0.15">
      <c r="A41" s="135"/>
      <c r="B41" s="27" t="s">
        <v>26</v>
      </c>
      <c r="C41" s="28" t="s">
        <v>63</v>
      </c>
      <c r="D41" s="29">
        <v>300</v>
      </c>
      <c r="E41" s="135"/>
      <c r="F41" s="27" t="s">
        <v>26</v>
      </c>
      <c r="G41" s="28" t="s">
        <v>63</v>
      </c>
      <c r="H41" s="29">
        <v>300</v>
      </c>
      <c r="I41" s="138"/>
      <c r="J41" s="27" t="s">
        <v>26</v>
      </c>
      <c r="K41" s="28" t="s">
        <v>63</v>
      </c>
      <c r="L41" s="29">
        <v>300</v>
      </c>
      <c r="M41" s="135"/>
      <c r="N41" s="27" t="s">
        <v>26</v>
      </c>
      <c r="O41" s="28" t="s">
        <v>63</v>
      </c>
      <c r="P41" s="29">
        <v>300</v>
      </c>
      <c r="Q41" s="135"/>
      <c r="R41" s="9" t="s">
        <v>26</v>
      </c>
      <c r="S41" s="4" t="s">
        <v>63</v>
      </c>
      <c r="T41" s="10">
        <v>300</v>
      </c>
      <c r="U41" s="135"/>
      <c r="V41" s="27" t="s">
        <v>26</v>
      </c>
      <c r="W41" s="28" t="s">
        <v>63</v>
      </c>
      <c r="X41" s="29">
        <v>300</v>
      </c>
      <c r="Y41" s="109"/>
      <c r="Z41" s="159"/>
      <c r="AA41" s="159"/>
      <c r="AB41" s="159"/>
      <c r="AC41" s="232"/>
      <c r="AD41" s="232"/>
      <c r="AE41" s="159"/>
      <c r="AF41" s="159"/>
      <c r="AG41" s="20"/>
      <c r="AH41" s="20"/>
      <c r="AI41" s="20"/>
      <c r="AJ41" s="20"/>
      <c r="AK41" s="20"/>
      <c r="AL41" s="20"/>
      <c r="AM41" s="20"/>
      <c r="AN41" s="20"/>
      <c r="AO41" s="20"/>
      <c r="AP41" s="20"/>
    </row>
    <row r="42" spans="1:42" ht="14.25" x14ac:dyDescent="0.15">
      <c r="A42" s="135"/>
      <c r="B42" s="27" t="s">
        <v>61</v>
      </c>
      <c r="C42" s="28" t="s">
        <v>64</v>
      </c>
      <c r="D42" s="29">
        <v>300</v>
      </c>
      <c r="E42" s="135"/>
      <c r="F42" s="27" t="s">
        <v>61</v>
      </c>
      <c r="G42" s="28" t="s">
        <v>64</v>
      </c>
      <c r="H42" s="29">
        <v>300</v>
      </c>
      <c r="I42" s="138"/>
      <c r="J42" s="27" t="s">
        <v>61</v>
      </c>
      <c r="K42" s="28" t="s">
        <v>64</v>
      </c>
      <c r="L42" s="29">
        <v>300</v>
      </c>
      <c r="M42" s="135"/>
      <c r="N42" s="27" t="s">
        <v>61</v>
      </c>
      <c r="O42" s="28" t="s">
        <v>64</v>
      </c>
      <c r="P42" s="29">
        <v>300</v>
      </c>
      <c r="Q42" s="135"/>
      <c r="R42" s="9" t="s">
        <v>61</v>
      </c>
      <c r="S42" s="4" t="s">
        <v>64</v>
      </c>
      <c r="T42" s="10">
        <v>300</v>
      </c>
      <c r="U42" s="135"/>
      <c r="V42" s="27" t="s">
        <v>61</v>
      </c>
      <c r="W42" s="28" t="s">
        <v>64</v>
      </c>
      <c r="X42" s="29">
        <v>300</v>
      </c>
      <c r="Y42" s="109"/>
      <c r="Z42" s="159"/>
      <c r="AA42" s="159"/>
      <c r="AB42" s="159"/>
      <c r="AC42" s="159"/>
      <c r="AD42" s="159"/>
      <c r="AE42" s="159"/>
      <c r="AF42" s="227"/>
      <c r="AG42" s="20"/>
      <c r="AH42" s="20"/>
      <c r="AI42" s="20"/>
      <c r="AJ42" s="20"/>
      <c r="AK42" s="20"/>
      <c r="AL42" s="20"/>
      <c r="AM42" s="20"/>
      <c r="AN42" s="20"/>
      <c r="AO42" s="20"/>
      <c r="AP42" s="20"/>
    </row>
    <row r="43" spans="1:42" ht="13.5" x14ac:dyDescent="0.15">
      <c r="A43" s="135"/>
      <c r="B43" s="144" t="s">
        <v>27</v>
      </c>
      <c r="C43" s="145" t="s">
        <v>66</v>
      </c>
      <c r="D43" s="146">
        <f>D41/D42+1</f>
        <v>2</v>
      </c>
      <c r="E43" s="135"/>
      <c r="F43" s="144" t="s">
        <v>27</v>
      </c>
      <c r="G43" s="145" t="s">
        <v>66</v>
      </c>
      <c r="H43" s="146">
        <f>H41/H42+1</f>
        <v>2</v>
      </c>
      <c r="I43" s="138"/>
      <c r="J43" s="144" t="s">
        <v>27</v>
      </c>
      <c r="K43" s="145" t="s">
        <v>66</v>
      </c>
      <c r="L43" s="146">
        <f>L41/L42+1</f>
        <v>2</v>
      </c>
      <c r="M43" s="135"/>
      <c r="N43" s="144" t="s">
        <v>27</v>
      </c>
      <c r="O43" s="145" t="s">
        <v>66</v>
      </c>
      <c r="P43" s="146">
        <v>2</v>
      </c>
      <c r="Q43" s="135"/>
      <c r="R43" s="144" t="s">
        <v>27</v>
      </c>
      <c r="S43" s="145" t="s">
        <v>66</v>
      </c>
      <c r="T43" s="146">
        <v>2</v>
      </c>
      <c r="U43" s="135"/>
      <c r="V43" s="144" t="s">
        <v>27</v>
      </c>
      <c r="W43" s="145" t="s">
        <v>66</v>
      </c>
      <c r="X43" s="146">
        <f>X41/X42+1</f>
        <v>2</v>
      </c>
      <c r="Y43" s="109"/>
      <c r="Z43" s="159"/>
      <c r="AA43" s="159"/>
      <c r="AB43" s="159"/>
      <c r="AC43" s="229"/>
      <c r="AD43" s="229"/>
      <c r="AE43" s="159"/>
      <c r="AF43" s="227"/>
      <c r="AG43" s="20"/>
      <c r="AH43" s="20"/>
      <c r="AI43" s="20"/>
      <c r="AJ43" s="20"/>
      <c r="AK43" s="20"/>
      <c r="AL43" s="20"/>
      <c r="AM43" s="20"/>
      <c r="AN43" s="20"/>
      <c r="AO43" s="20"/>
      <c r="AP43" s="20"/>
    </row>
    <row r="44" spans="1:42" ht="13.5" x14ac:dyDescent="0.15">
      <c r="A44" s="135"/>
      <c r="B44" s="27"/>
      <c r="C44" s="28" t="s">
        <v>65</v>
      </c>
      <c r="D44" s="29">
        <f>10*LOG(D43)</f>
        <v>3.0102999566398121</v>
      </c>
      <c r="E44" s="135"/>
      <c r="F44" s="27"/>
      <c r="G44" s="28" t="s">
        <v>65</v>
      </c>
      <c r="H44" s="29">
        <f>10*LOG(H43)</f>
        <v>3.0102999566398121</v>
      </c>
      <c r="I44" s="138"/>
      <c r="J44" s="27"/>
      <c r="K44" s="28" t="s">
        <v>65</v>
      </c>
      <c r="L44" s="29">
        <f>10*LOG(L43)</f>
        <v>3.0102999566398121</v>
      </c>
      <c r="M44" s="135"/>
      <c r="N44" s="27"/>
      <c r="O44" s="28" t="s">
        <v>65</v>
      </c>
      <c r="P44" s="29">
        <f>10*LOG(P43)</f>
        <v>3.0102999566398121</v>
      </c>
      <c r="Q44" s="135"/>
      <c r="R44" s="9"/>
      <c r="S44" s="4" t="s">
        <v>65</v>
      </c>
      <c r="T44" s="10">
        <f>10*LOG(T43)</f>
        <v>3.0102999566398121</v>
      </c>
      <c r="U44" s="135"/>
      <c r="V44" s="27"/>
      <c r="W44" s="28" t="s">
        <v>65</v>
      </c>
      <c r="X44" s="29">
        <f>10*LOG(X43)</f>
        <v>3.0102999566398121</v>
      </c>
      <c r="Y44" s="109"/>
      <c r="Z44" s="159"/>
      <c r="AA44" s="159"/>
      <c r="AB44" s="159"/>
      <c r="AC44" s="231"/>
      <c r="AD44" s="231"/>
      <c r="AE44" s="159"/>
      <c r="AF44" s="227"/>
      <c r="AG44" s="20"/>
      <c r="AH44" s="20"/>
      <c r="AI44" s="20"/>
      <c r="AJ44" s="20"/>
      <c r="AK44" s="20"/>
      <c r="AL44" s="20"/>
      <c r="AM44" s="20"/>
      <c r="AN44" s="20"/>
      <c r="AO44" s="20"/>
      <c r="AP44" s="20"/>
    </row>
    <row r="45" spans="1:42" ht="14.25" x14ac:dyDescent="0.15">
      <c r="A45" s="135"/>
      <c r="B45" s="144" t="s">
        <v>28</v>
      </c>
      <c r="C45" s="145" t="s">
        <v>67</v>
      </c>
      <c r="D45" s="146">
        <f>D39/D37+(1-(1/D37))*D40+(D43-1)*D42</f>
        <v>600</v>
      </c>
      <c r="E45" s="135"/>
      <c r="F45" s="144" t="s">
        <v>28</v>
      </c>
      <c r="G45" s="145" t="s">
        <v>67</v>
      </c>
      <c r="H45" s="146">
        <f>H39/H37+(1-(1/H37))*H40+(H43-1)*H42</f>
        <v>600</v>
      </c>
      <c r="I45" s="138"/>
      <c r="J45" s="144" t="s">
        <v>28</v>
      </c>
      <c r="K45" s="145" t="s">
        <v>67</v>
      </c>
      <c r="L45" s="146">
        <f>L39/L37+(1-(1/L37))*L40+(L43-1)*L42</f>
        <v>600</v>
      </c>
      <c r="M45" s="135"/>
      <c r="N45" s="144" t="s">
        <v>28</v>
      </c>
      <c r="O45" s="145" t="s">
        <v>67</v>
      </c>
      <c r="P45" s="146">
        <f>P39/P37+(1-(1/P37))*P40+(P43-1)*P42</f>
        <v>600</v>
      </c>
      <c r="Q45" s="135"/>
      <c r="R45" s="144" t="s">
        <v>28</v>
      </c>
      <c r="S45" s="145" t="s">
        <v>67</v>
      </c>
      <c r="T45" s="146">
        <f>T39/T37+(1-(1/T37))*T40+(T43-1)*T42</f>
        <v>600</v>
      </c>
      <c r="U45" s="135"/>
      <c r="V45" s="144" t="s">
        <v>28</v>
      </c>
      <c r="W45" s="145" t="s">
        <v>67</v>
      </c>
      <c r="X45" s="146">
        <f>X39/X37+(1-(1/X37))*X40+(X43-1)*X42</f>
        <v>600</v>
      </c>
      <c r="Y45" s="109"/>
      <c r="Z45" s="159"/>
      <c r="AA45" s="159"/>
      <c r="AB45" s="159"/>
      <c r="AC45" s="159"/>
      <c r="AD45" s="159"/>
      <c r="AE45" s="159"/>
      <c r="AF45" s="227"/>
      <c r="AG45" s="20"/>
      <c r="AH45" s="20"/>
      <c r="AI45" s="20"/>
      <c r="AJ45" s="20"/>
      <c r="AK45" s="20"/>
      <c r="AL45" s="20"/>
      <c r="AM45" s="20"/>
      <c r="AN45" s="20"/>
      <c r="AO45" s="20"/>
      <c r="AP45" s="20"/>
    </row>
    <row r="46" spans="1:42" ht="14.25" x14ac:dyDescent="0.15">
      <c r="A46" s="135"/>
      <c r="B46" s="27" t="s">
        <v>88</v>
      </c>
      <c r="C46" s="28" t="s">
        <v>90</v>
      </c>
      <c r="D46" s="29">
        <v>300</v>
      </c>
      <c r="E46" s="135"/>
      <c r="F46" s="27" t="s">
        <v>88</v>
      </c>
      <c r="G46" s="28" t="s">
        <v>90</v>
      </c>
      <c r="H46" s="29">
        <v>300</v>
      </c>
      <c r="I46" s="138"/>
      <c r="J46" s="27" t="s">
        <v>88</v>
      </c>
      <c r="K46" s="28" t="s">
        <v>90</v>
      </c>
      <c r="L46" s="29">
        <v>300</v>
      </c>
      <c r="M46" s="135"/>
      <c r="N46" s="27" t="s">
        <v>88</v>
      </c>
      <c r="O46" s="28" t="s">
        <v>90</v>
      </c>
      <c r="P46" s="29">
        <v>300</v>
      </c>
      <c r="Q46" s="135"/>
      <c r="R46" s="9" t="s">
        <v>88</v>
      </c>
      <c r="S46" s="4" t="s">
        <v>90</v>
      </c>
      <c r="T46" s="10">
        <v>300</v>
      </c>
      <c r="U46" s="135"/>
      <c r="V46" s="27" t="s">
        <v>88</v>
      </c>
      <c r="W46" s="28" t="s">
        <v>90</v>
      </c>
      <c r="X46" s="29">
        <v>300</v>
      </c>
      <c r="Y46" s="109"/>
      <c r="Z46" s="159"/>
      <c r="AA46" s="159"/>
      <c r="AB46" s="159"/>
      <c r="AC46" s="159"/>
      <c r="AD46" s="159"/>
      <c r="AE46" s="159"/>
      <c r="AF46" s="227"/>
      <c r="AG46" s="20"/>
      <c r="AH46" s="20"/>
      <c r="AI46" s="20"/>
      <c r="AJ46" s="20"/>
      <c r="AK46" s="20"/>
      <c r="AL46" s="20"/>
      <c r="AM46" s="20"/>
      <c r="AN46" s="20"/>
      <c r="AO46" s="20"/>
      <c r="AP46" s="20"/>
    </row>
    <row r="47" spans="1:42" ht="14.25" x14ac:dyDescent="0.15">
      <c r="A47" s="135"/>
      <c r="B47" s="27" t="s">
        <v>89</v>
      </c>
      <c r="C47" s="28" t="s">
        <v>91</v>
      </c>
      <c r="D47" s="29">
        <f>1.12*D46-50</f>
        <v>286.00000000000006</v>
      </c>
      <c r="E47" s="135"/>
      <c r="F47" s="27" t="s">
        <v>89</v>
      </c>
      <c r="G47" s="28" t="s">
        <v>91</v>
      </c>
      <c r="H47" s="29">
        <f>1.12*H46-50</f>
        <v>286.00000000000006</v>
      </c>
      <c r="I47" s="138"/>
      <c r="J47" s="27" t="s">
        <v>89</v>
      </c>
      <c r="K47" s="28" t="s">
        <v>91</v>
      </c>
      <c r="L47" s="29">
        <f>1.12*L46-50</f>
        <v>286.00000000000006</v>
      </c>
      <c r="M47" s="135"/>
      <c r="N47" s="27" t="s">
        <v>89</v>
      </c>
      <c r="O47" s="28" t="s">
        <v>91</v>
      </c>
      <c r="P47" s="29">
        <f>1.12*P46-50</f>
        <v>286.00000000000006</v>
      </c>
      <c r="Q47" s="135"/>
      <c r="R47" s="9" t="s">
        <v>89</v>
      </c>
      <c r="S47" s="4" t="s">
        <v>91</v>
      </c>
      <c r="T47" s="10">
        <f>1.12*T46-50</f>
        <v>286.00000000000006</v>
      </c>
      <c r="U47" s="135"/>
      <c r="V47" s="27" t="s">
        <v>89</v>
      </c>
      <c r="W47" s="28" t="s">
        <v>91</v>
      </c>
      <c r="X47" s="29">
        <f>1.12*X46-50</f>
        <v>286.00000000000006</v>
      </c>
      <c r="Y47" s="109"/>
      <c r="Z47" s="159"/>
      <c r="AA47" s="159"/>
      <c r="AB47" s="159"/>
      <c r="AC47" s="159"/>
      <c r="AD47" s="159"/>
      <c r="AE47" s="159"/>
      <c r="AF47" s="227"/>
      <c r="AG47" s="20"/>
      <c r="AH47" s="20"/>
      <c r="AI47" s="20"/>
      <c r="AJ47" s="20"/>
      <c r="AK47" s="20"/>
      <c r="AL47" s="20"/>
      <c r="AM47" s="20"/>
      <c r="AN47" s="20"/>
      <c r="AO47" s="20"/>
      <c r="AP47" s="20"/>
    </row>
    <row r="48" spans="1:42" ht="14.25" x14ac:dyDescent="0.15">
      <c r="A48" s="135"/>
      <c r="B48" s="27" t="s">
        <v>29</v>
      </c>
      <c r="C48" s="28" t="s">
        <v>68</v>
      </c>
      <c r="D48" s="29">
        <f>D47*(1-10^(-D27/10))</f>
        <v>0</v>
      </c>
      <c r="E48" s="135"/>
      <c r="F48" s="27" t="s">
        <v>29</v>
      </c>
      <c r="G48" s="28" t="s">
        <v>68</v>
      </c>
      <c r="H48" s="29">
        <f>H47*(1-10^(-H27/10))</f>
        <v>0</v>
      </c>
      <c r="I48" s="138"/>
      <c r="J48" s="27" t="s">
        <v>29</v>
      </c>
      <c r="K48" s="28" t="s">
        <v>68</v>
      </c>
      <c r="L48" s="29">
        <f>L47*(1-10^(-L27/10))</f>
        <v>0</v>
      </c>
      <c r="M48" s="135"/>
      <c r="N48" s="27" t="s">
        <v>29</v>
      </c>
      <c r="O48" s="28" t="s">
        <v>68</v>
      </c>
      <c r="P48" s="29">
        <f>P47*(1-10^(-P27/10))</f>
        <v>0</v>
      </c>
      <c r="Q48" s="135"/>
      <c r="R48" s="9" t="s">
        <v>29</v>
      </c>
      <c r="S48" s="4" t="s">
        <v>68</v>
      </c>
      <c r="T48" s="10">
        <f>T47*(1-10^(-T27/10))</f>
        <v>0</v>
      </c>
      <c r="U48" s="135"/>
      <c r="V48" s="27" t="s">
        <v>29</v>
      </c>
      <c r="W48" s="28" t="s">
        <v>68</v>
      </c>
      <c r="X48" s="29">
        <f>X47*(1-10^(-X27/10))</f>
        <v>0</v>
      </c>
      <c r="Y48" s="109"/>
      <c r="Z48" s="159"/>
      <c r="AA48" s="159"/>
      <c r="AB48" s="159"/>
      <c r="AC48" s="229"/>
      <c r="AD48" s="229"/>
      <c r="AE48" s="159"/>
      <c r="AF48" s="159"/>
      <c r="AG48" s="20"/>
      <c r="AH48" s="20"/>
      <c r="AI48" s="20"/>
      <c r="AJ48" s="20"/>
      <c r="AK48" s="20"/>
      <c r="AL48" s="20"/>
      <c r="AM48" s="20"/>
      <c r="AN48" s="20"/>
      <c r="AO48" s="20"/>
      <c r="AP48" s="20"/>
    </row>
    <row r="49" spans="1:42" ht="13.5" x14ac:dyDescent="0.15">
      <c r="A49" s="135"/>
      <c r="B49" s="144" t="s">
        <v>69</v>
      </c>
      <c r="C49" s="145" t="s">
        <v>94</v>
      </c>
      <c r="D49" s="146">
        <v>16</v>
      </c>
      <c r="E49" s="135"/>
      <c r="F49" s="144" t="s">
        <v>69</v>
      </c>
      <c r="G49" s="145" t="s">
        <v>94</v>
      </c>
      <c r="H49" s="146">
        <v>26</v>
      </c>
      <c r="I49" s="138"/>
      <c r="J49" s="144" t="s">
        <v>69</v>
      </c>
      <c r="K49" s="145" t="s">
        <v>94</v>
      </c>
      <c r="L49" s="146">
        <v>0.5</v>
      </c>
      <c r="M49" s="135"/>
      <c r="N49" s="144" t="s">
        <v>69</v>
      </c>
      <c r="O49" s="145" t="s">
        <v>94</v>
      </c>
      <c r="P49" s="146">
        <v>16</v>
      </c>
      <c r="Q49" s="135"/>
      <c r="R49" s="144" t="s">
        <v>69</v>
      </c>
      <c r="S49" s="145" t="s">
        <v>94</v>
      </c>
      <c r="T49" s="146">
        <v>20</v>
      </c>
      <c r="U49" s="135"/>
      <c r="V49" s="144" t="s">
        <v>69</v>
      </c>
      <c r="W49" s="145" t="s">
        <v>94</v>
      </c>
      <c r="X49" s="146">
        <v>20</v>
      </c>
      <c r="Y49" s="109"/>
      <c r="Z49" s="159"/>
      <c r="AA49" s="159"/>
      <c r="AB49" s="159"/>
      <c r="AC49" s="229"/>
      <c r="AD49" s="229"/>
      <c r="AE49" s="159"/>
      <c r="AF49" s="159"/>
      <c r="AG49" s="20"/>
      <c r="AH49" s="20"/>
      <c r="AI49" s="20"/>
      <c r="AJ49" s="20"/>
      <c r="AK49" s="20"/>
      <c r="AL49" s="20"/>
      <c r="AM49" s="20"/>
      <c r="AN49" s="20"/>
      <c r="AO49" s="20"/>
      <c r="AP49" s="20"/>
    </row>
    <row r="50" spans="1:42" ht="13.5" x14ac:dyDescent="0.15">
      <c r="A50" s="135"/>
      <c r="B50" s="144" t="s">
        <v>30</v>
      </c>
      <c r="C50" s="145" t="s">
        <v>96</v>
      </c>
      <c r="D50" s="149">
        <f>D13*D45*D49*10^3</f>
        <v>1.3248000000000001E-16</v>
      </c>
      <c r="E50" s="135"/>
      <c r="F50" s="144" t="s">
        <v>30</v>
      </c>
      <c r="G50" s="145" t="s">
        <v>96</v>
      </c>
      <c r="H50" s="149">
        <f>H13*H45*H49*10^3</f>
        <v>2.1528000000000002E-16</v>
      </c>
      <c r="I50" s="143"/>
      <c r="J50" s="144" t="s">
        <v>30</v>
      </c>
      <c r="K50" s="145" t="s">
        <v>96</v>
      </c>
      <c r="L50" s="149">
        <f>L13*L45*L49*10^3</f>
        <v>4.1400000000000003E-18</v>
      </c>
      <c r="M50" s="135"/>
      <c r="N50" s="144" t="s">
        <v>30</v>
      </c>
      <c r="O50" s="145" t="s">
        <v>96</v>
      </c>
      <c r="P50" s="149">
        <f>P13*P45*P49*10^3</f>
        <v>1.3248000000000001E-16</v>
      </c>
      <c r="Q50" s="135"/>
      <c r="R50" s="144" t="s">
        <v>30</v>
      </c>
      <c r="S50" s="145" t="s">
        <v>96</v>
      </c>
      <c r="T50" s="149">
        <f>T13*T45*T49*10^3</f>
        <v>1.6560000000000002E-16</v>
      </c>
      <c r="U50" s="135"/>
      <c r="V50" s="144" t="s">
        <v>30</v>
      </c>
      <c r="W50" s="145" t="s">
        <v>96</v>
      </c>
      <c r="X50" s="149">
        <f>X13*X45*X49*10^3</f>
        <v>1.6560000000000002E-16</v>
      </c>
      <c r="Y50" s="109"/>
      <c r="Z50" s="159"/>
      <c r="AA50" s="159"/>
      <c r="AB50" s="159"/>
      <c r="AC50" s="159"/>
      <c r="AD50" s="159"/>
      <c r="AE50" s="159"/>
      <c r="AF50" s="227"/>
      <c r="AG50" s="20"/>
      <c r="AH50" s="20"/>
      <c r="AI50" s="20"/>
      <c r="AJ50" s="20"/>
      <c r="AK50" s="20"/>
      <c r="AL50" s="20"/>
      <c r="AM50" s="20"/>
      <c r="AN50" s="20"/>
      <c r="AO50" s="20"/>
      <c r="AP50" s="20"/>
    </row>
    <row r="51" spans="1:42" ht="13.5" x14ac:dyDescent="0.15">
      <c r="A51" s="135"/>
      <c r="B51" s="144"/>
      <c r="C51" s="145" t="s">
        <v>95</v>
      </c>
      <c r="D51" s="148">
        <f>10*LOG(D50)</f>
        <v>-158.77849680559194</v>
      </c>
      <c r="E51" s="135"/>
      <c r="F51" s="144"/>
      <c r="G51" s="145" t="s">
        <v>95</v>
      </c>
      <c r="H51" s="148">
        <f>10*LOG(H50)</f>
        <v>-156.66996315244302</v>
      </c>
      <c r="I51" s="143"/>
      <c r="J51" s="144"/>
      <c r="K51" s="145" t="s">
        <v>95</v>
      </c>
      <c r="L51" s="149">
        <f>10*LOG(L50)</f>
        <v>-173.829996588791</v>
      </c>
      <c r="M51" s="135"/>
      <c r="N51" s="144"/>
      <c r="O51" s="145" t="s">
        <v>95</v>
      </c>
      <c r="P51" s="149">
        <f>10*LOG(P50)</f>
        <v>-158.77849680559194</v>
      </c>
      <c r="Q51" s="135"/>
      <c r="R51" s="144"/>
      <c r="S51" s="145" t="s">
        <v>95</v>
      </c>
      <c r="T51" s="148">
        <f>10*LOG(T50)</f>
        <v>-157.80939667551138</v>
      </c>
      <c r="U51" s="135"/>
      <c r="V51" s="144"/>
      <c r="W51" s="145" t="s">
        <v>95</v>
      </c>
      <c r="X51" s="149">
        <f>10*LOG(X50)</f>
        <v>-157.80939667551138</v>
      </c>
      <c r="Y51" s="109"/>
      <c r="Z51" s="159"/>
      <c r="AA51" s="159"/>
      <c r="AB51" s="159"/>
      <c r="AC51" s="159"/>
      <c r="AD51" s="159"/>
      <c r="AE51" s="159"/>
      <c r="AF51" s="227"/>
      <c r="AG51" s="20"/>
      <c r="AH51" s="20"/>
      <c r="AI51" s="20"/>
      <c r="AJ51" s="20"/>
      <c r="AK51" s="20"/>
      <c r="AL51" s="20"/>
      <c r="AM51" s="20"/>
      <c r="AN51" s="20"/>
      <c r="AO51" s="20"/>
      <c r="AP51" s="20"/>
    </row>
    <row r="52" spans="1:42" ht="14.25" x14ac:dyDescent="0.15">
      <c r="A52" s="135"/>
      <c r="B52" s="144" t="s">
        <v>31</v>
      </c>
      <c r="C52" s="145" t="s">
        <v>70</v>
      </c>
      <c r="D52" s="149">
        <f>10*LOG(D13*D45)</f>
        <v>-200.81969663215119</v>
      </c>
      <c r="E52" s="135"/>
      <c r="F52" s="144" t="s">
        <v>31</v>
      </c>
      <c r="G52" s="145" t="s">
        <v>70</v>
      </c>
      <c r="H52" s="149">
        <f>10*LOG(H13*H45)</f>
        <v>-200.81969663215119</v>
      </c>
      <c r="I52" s="143"/>
      <c r="J52" s="144" t="s">
        <v>31</v>
      </c>
      <c r="K52" s="145" t="s">
        <v>70</v>
      </c>
      <c r="L52" s="149">
        <f>10*LOG(L13*L45)</f>
        <v>-200.81969663215119</v>
      </c>
      <c r="M52" s="135"/>
      <c r="N52" s="144" t="s">
        <v>31</v>
      </c>
      <c r="O52" s="145" t="s">
        <v>70</v>
      </c>
      <c r="P52" s="149">
        <f>10*LOG(P13*P45)</f>
        <v>-200.81969663215119</v>
      </c>
      <c r="Q52" s="135"/>
      <c r="R52" s="144" t="s">
        <v>31</v>
      </c>
      <c r="S52" s="145" t="s">
        <v>70</v>
      </c>
      <c r="T52" s="149">
        <f>10*LOG(T13*T45)</f>
        <v>-200.81969663215119</v>
      </c>
      <c r="U52" s="135"/>
      <c r="V52" s="144" t="s">
        <v>31</v>
      </c>
      <c r="W52" s="145" t="s">
        <v>70</v>
      </c>
      <c r="X52" s="149">
        <f>10*LOG(X13*X45)</f>
        <v>-200.81969663215119</v>
      </c>
      <c r="Y52" s="109"/>
      <c r="Z52" s="159"/>
      <c r="AA52" s="159"/>
      <c r="AB52" s="159"/>
      <c r="AC52" s="229"/>
      <c r="AD52" s="229"/>
      <c r="AE52" s="159"/>
      <c r="AF52" s="228"/>
      <c r="AG52" s="20"/>
      <c r="AH52" s="20"/>
      <c r="AI52" s="20"/>
      <c r="AJ52" s="20"/>
      <c r="AK52" s="20"/>
      <c r="AL52" s="20"/>
      <c r="AM52" s="20"/>
      <c r="AN52" s="20"/>
      <c r="AO52" s="20"/>
      <c r="AP52" s="20"/>
    </row>
    <row r="53" spans="1:42" ht="13.5" x14ac:dyDescent="0.15">
      <c r="A53" s="135"/>
      <c r="B53" s="153" t="s">
        <v>125</v>
      </c>
      <c r="C53" s="154" t="s">
        <v>126</v>
      </c>
      <c r="D53" s="155">
        <f>D35+D36</f>
        <v>16.5</v>
      </c>
      <c r="E53" s="135"/>
      <c r="F53" s="153" t="s">
        <v>125</v>
      </c>
      <c r="G53" s="154" t="s">
        <v>126</v>
      </c>
      <c r="H53" s="155">
        <f>H35+H36</f>
        <v>16.5</v>
      </c>
      <c r="I53" s="143"/>
      <c r="J53" s="153" t="s">
        <v>125</v>
      </c>
      <c r="K53" s="154" t="s">
        <v>126</v>
      </c>
      <c r="L53" s="155">
        <f>L35+L36</f>
        <v>16.5</v>
      </c>
      <c r="M53" s="135"/>
      <c r="N53" s="153" t="s">
        <v>125</v>
      </c>
      <c r="O53" s="154" t="s">
        <v>126</v>
      </c>
      <c r="P53" s="155">
        <f>P35+P36</f>
        <v>-2</v>
      </c>
      <c r="Q53" s="135"/>
      <c r="R53" s="153" t="s">
        <v>125</v>
      </c>
      <c r="S53" s="154" t="s">
        <v>126</v>
      </c>
      <c r="T53" s="155">
        <f>T35+T36</f>
        <v>-2</v>
      </c>
      <c r="U53" s="135"/>
      <c r="V53" s="153" t="s">
        <v>125</v>
      </c>
      <c r="W53" s="154" t="s">
        <v>126</v>
      </c>
      <c r="X53" s="155">
        <f>X35+X36</f>
        <v>16.5</v>
      </c>
      <c r="Y53" s="109"/>
      <c r="Z53" s="159"/>
      <c r="AA53" s="159"/>
      <c r="AB53" s="159"/>
      <c r="AC53" s="229"/>
      <c r="AD53" s="229"/>
      <c r="AE53" s="159"/>
      <c r="AF53" s="159"/>
      <c r="AG53" s="20"/>
      <c r="AH53" s="20"/>
      <c r="AI53" s="20"/>
      <c r="AJ53" s="20"/>
      <c r="AK53" s="20"/>
      <c r="AL53" s="20"/>
      <c r="AM53" s="20"/>
      <c r="AN53" s="20"/>
      <c r="AO53" s="20"/>
      <c r="AP53" s="20"/>
    </row>
    <row r="54" spans="1:42" ht="14.25" thickBot="1" x14ac:dyDescent="0.2">
      <c r="A54" s="135"/>
      <c r="B54" s="151" t="s">
        <v>32</v>
      </c>
      <c r="C54" s="152" t="s">
        <v>97</v>
      </c>
      <c r="D54" s="150">
        <f>D35+D36-10*LOG(D45)</f>
        <v>-11.281512503836435</v>
      </c>
      <c r="E54" s="135"/>
      <c r="F54" s="151" t="s">
        <v>32</v>
      </c>
      <c r="G54" s="152" t="s">
        <v>97</v>
      </c>
      <c r="H54" s="150">
        <f>H35+H36-10*LOG(H45)</f>
        <v>-11.281512503836435</v>
      </c>
      <c r="I54" s="138"/>
      <c r="J54" s="151" t="s">
        <v>32</v>
      </c>
      <c r="K54" s="152" t="s">
        <v>97</v>
      </c>
      <c r="L54" s="150">
        <f>L35+L36-10*LOG(L45)</f>
        <v>-11.281512503836435</v>
      </c>
      <c r="M54" s="135"/>
      <c r="N54" s="151" t="s">
        <v>32</v>
      </c>
      <c r="O54" s="152" t="s">
        <v>97</v>
      </c>
      <c r="P54" s="150">
        <f>P35+P36-10*LOG(P45)</f>
        <v>-29.781512503836435</v>
      </c>
      <c r="Q54" s="135"/>
      <c r="R54" s="151" t="s">
        <v>32</v>
      </c>
      <c r="S54" s="152" t="s">
        <v>97</v>
      </c>
      <c r="T54" s="150">
        <f>T35+T36-10*LOG(T45)</f>
        <v>-29.781512503836435</v>
      </c>
      <c r="U54" s="135"/>
      <c r="V54" s="151" t="s">
        <v>32</v>
      </c>
      <c r="W54" s="152" t="s">
        <v>97</v>
      </c>
      <c r="X54" s="150">
        <f>X35+X36-10*LOG(X45)</f>
        <v>-11.281512503836435</v>
      </c>
      <c r="Y54" s="109"/>
      <c r="Z54" s="159"/>
      <c r="AA54" s="159"/>
      <c r="AB54" s="159"/>
      <c r="AC54" s="159"/>
      <c r="AD54" s="159"/>
      <c r="AE54" s="159"/>
      <c r="AF54" s="159"/>
      <c r="AG54" s="20"/>
      <c r="AH54" s="20"/>
      <c r="AI54" s="20"/>
      <c r="AJ54" s="20"/>
      <c r="AK54" s="20"/>
      <c r="AL54" s="20"/>
      <c r="AM54" s="20"/>
      <c r="AN54" s="20"/>
      <c r="AO54" s="20"/>
      <c r="AP54" s="20"/>
    </row>
    <row r="55" spans="1:42" ht="13.5" x14ac:dyDescent="0.15">
      <c r="A55" s="135"/>
      <c r="B55" s="109"/>
      <c r="C55" s="109"/>
      <c r="D55" s="109"/>
      <c r="E55" s="135"/>
      <c r="F55" s="109"/>
      <c r="G55" s="109"/>
      <c r="H55" s="109"/>
      <c r="I55" s="135"/>
      <c r="J55" s="109"/>
      <c r="K55" s="109"/>
      <c r="L55" s="109"/>
      <c r="M55" s="135"/>
      <c r="N55" s="109"/>
      <c r="O55" s="109"/>
      <c r="P55" s="109"/>
      <c r="Q55" s="135"/>
      <c r="U55" s="135"/>
      <c r="V55" s="109"/>
      <c r="W55" s="109"/>
      <c r="X55" s="109"/>
      <c r="Y55" s="109"/>
      <c r="Z55" s="159"/>
      <c r="AA55" s="159"/>
      <c r="AB55" s="159"/>
      <c r="AC55" s="229"/>
      <c r="AD55" s="229"/>
      <c r="AE55" s="159"/>
      <c r="AF55" s="159"/>
      <c r="AG55" s="20"/>
      <c r="AH55" s="20"/>
      <c r="AI55" s="20"/>
      <c r="AJ55" s="20"/>
      <c r="AK55" s="20"/>
      <c r="AL55" s="20"/>
      <c r="AM55" s="20"/>
      <c r="AN55" s="20"/>
      <c r="AO55" s="20"/>
      <c r="AP55" s="20"/>
    </row>
    <row r="56" spans="1:42" ht="14.25" thickBot="1" x14ac:dyDescent="0.2">
      <c r="A56" s="135"/>
      <c r="B56" s="109" t="s">
        <v>336</v>
      </c>
      <c r="C56" s="109"/>
      <c r="D56" s="109"/>
      <c r="E56" s="135"/>
      <c r="F56" s="109"/>
      <c r="G56" s="109"/>
      <c r="H56" s="109"/>
      <c r="I56" s="135"/>
      <c r="J56" s="109"/>
      <c r="K56" s="109"/>
      <c r="L56" s="109"/>
      <c r="M56" s="135"/>
      <c r="N56" s="109"/>
      <c r="O56" s="109"/>
      <c r="P56" s="109"/>
      <c r="Q56" s="135"/>
      <c r="U56" s="135"/>
      <c r="V56" s="109"/>
      <c r="W56" s="109"/>
      <c r="X56" s="109"/>
      <c r="Y56" s="109"/>
      <c r="Z56" s="159"/>
      <c r="AA56" s="159"/>
      <c r="AB56" s="159"/>
      <c r="AC56" s="229"/>
      <c r="AD56" s="229"/>
      <c r="AE56" s="159"/>
      <c r="AF56" s="159"/>
      <c r="AG56" s="26"/>
      <c r="AH56" s="20"/>
      <c r="AI56" s="20"/>
      <c r="AJ56" s="20"/>
      <c r="AK56" s="20"/>
      <c r="AL56" s="20"/>
      <c r="AM56" s="20"/>
      <c r="AN56" s="20"/>
      <c r="AO56" s="20"/>
      <c r="AP56" s="20"/>
    </row>
    <row r="57" spans="1:42" ht="14.25" x14ac:dyDescent="0.15">
      <c r="A57" s="135"/>
      <c r="B57" s="156" t="s">
        <v>33</v>
      </c>
      <c r="C57" s="157" t="s">
        <v>71</v>
      </c>
      <c r="D57" s="158">
        <v>-6</v>
      </c>
      <c r="E57" s="135"/>
      <c r="F57" s="156" t="s">
        <v>33</v>
      </c>
      <c r="G57" s="157" t="s">
        <v>71</v>
      </c>
      <c r="H57" s="158">
        <v>-6</v>
      </c>
      <c r="I57" s="138"/>
      <c r="J57" s="156" t="s">
        <v>33</v>
      </c>
      <c r="K57" s="157" t="s">
        <v>71</v>
      </c>
      <c r="L57" s="158">
        <v>-6</v>
      </c>
      <c r="M57" s="135"/>
      <c r="N57" s="156" t="s">
        <v>33</v>
      </c>
      <c r="O57" s="157" t="s">
        <v>71</v>
      </c>
      <c r="P57" s="158">
        <v>-6</v>
      </c>
      <c r="Q57" s="135"/>
      <c r="R57" s="156" t="s">
        <v>33</v>
      </c>
      <c r="S57" s="157" t="s">
        <v>71</v>
      </c>
      <c r="T57" s="158">
        <v>-6</v>
      </c>
      <c r="U57" s="135"/>
      <c r="V57" s="156" t="s">
        <v>33</v>
      </c>
      <c r="W57" s="157" t="s">
        <v>71</v>
      </c>
      <c r="X57" s="158">
        <v>-6</v>
      </c>
      <c r="Y57" s="109"/>
      <c r="Z57" s="26"/>
      <c r="AA57" s="26"/>
      <c r="AB57" s="26"/>
      <c r="AC57" s="26"/>
      <c r="AD57" s="26"/>
      <c r="AE57" s="26"/>
      <c r="AF57" s="26"/>
      <c r="AG57" s="26"/>
      <c r="AH57" s="20"/>
      <c r="AI57" s="20"/>
      <c r="AJ57" s="20"/>
      <c r="AK57" s="20"/>
      <c r="AL57" s="20"/>
      <c r="AM57" s="20"/>
      <c r="AN57" s="20"/>
      <c r="AO57" s="20"/>
      <c r="AP57" s="20"/>
    </row>
    <row r="58" spans="1:42" ht="14.25" x14ac:dyDescent="0.15">
      <c r="A58" s="135"/>
      <c r="B58" s="144" t="s">
        <v>111</v>
      </c>
      <c r="C58" s="145" t="s">
        <v>112</v>
      </c>
      <c r="D58" s="146">
        <v>-1</v>
      </c>
      <c r="E58" s="135"/>
      <c r="F58" s="144" t="s">
        <v>111</v>
      </c>
      <c r="G58" s="145" t="s">
        <v>112</v>
      </c>
      <c r="H58" s="146">
        <v>-1</v>
      </c>
      <c r="I58" s="138"/>
      <c r="J58" s="144" t="s">
        <v>111</v>
      </c>
      <c r="K58" s="145" t="s">
        <v>112</v>
      </c>
      <c r="L58" s="146">
        <v>-1</v>
      </c>
      <c r="M58" s="135"/>
      <c r="N58" s="144" t="s">
        <v>111</v>
      </c>
      <c r="O58" s="145" t="s">
        <v>112</v>
      </c>
      <c r="P58" s="146">
        <v>-1</v>
      </c>
      <c r="Q58" s="135"/>
      <c r="R58" s="144" t="s">
        <v>111</v>
      </c>
      <c r="S58" s="145" t="s">
        <v>112</v>
      </c>
      <c r="T58" s="146">
        <v>-1</v>
      </c>
      <c r="U58" s="135"/>
      <c r="V58" s="144" t="s">
        <v>111</v>
      </c>
      <c r="W58" s="145" t="s">
        <v>112</v>
      </c>
      <c r="X58" s="146">
        <v>-1</v>
      </c>
      <c r="Y58" s="109"/>
      <c r="Z58" s="26"/>
      <c r="AA58" s="159"/>
      <c r="AB58" s="159"/>
      <c r="AC58" s="229"/>
      <c r="AD58" s="229"/>
      <c r="AE58" s="159"/>
      <c r="AF58" s="159"/>
      <c r="AG58" s="26"/>
      <c r="AH58" s="20"/>
      <c r="AI58" s="20"/>
      <c r="AJ58" s="20"/>
      <c r="AK58" s="20"/>
      <c r="AL58" s="20"/>
      <c r="AM58" s="20"/>
      <c r="AN58" s="20"/>
      <c r="AO58" s="20"/>
      <c r="AP58" s="20"/>
    </row>
    <row r="59" spans="1:42" ht="14.25" x14ac:dyDescent="0.15">
      <c r="A59" s="135"/>
      <c r="B59" s="27" t="s">
        <v>113</v>
      </c>
      <c r="C59" s="28" t="s">
        <v>114</v>
      </c>
      <c r="D59" s="29">
        <f>D57+D58</f>
        <v>-7</v>
      </c>
      <c r="E59" s="135"/>
      <c r="F59" s="27" t="s">
        <v>113</v>
      </c>
      <c r="G59" s="28" t="s">
        <v>114</v>
      </c>
      <c r="H59" s="29">
        <f>H57+H58</f>
        <v>-7</v>
      </c>
      <c r="I59" s="138"/>
      <c r="J59" s="27" t="s">
        <v>113</v>
      </c>
      <c r="K59" s="28" t="s">
        <v>114</v>
      </c>
      <c r="L59" s="29">
        <f>L57+L58</f>
        <v>-7</v>
      </c>
      <c r="M59" s="135"/>
      <c r="N59" s="27" t="s">
        <v>113</v>
      </c>
      <c r="O59" s="28" t="s">
        <v>114</v>
      </c>
      <c r="P59" s="29">
        <f>P57+P58</f>
        <v>-7</v>
      </c>
      <c r="Q59" s="135"/>
      <c r="R59" s="27" t="s">
        <v>113</v>
      </c>
      <c r="S59" s="28" t="s">
        <v>114</v>
      </c>
      <c r="T59" s="29">
        <f>T57+T58</f>
        <v>-7</v>
      </c>
      <c r="U59" s="135"/>
      <c r="V59" s="27" t="s">
        <v>113</v>
      </c>
      <c r="W59" s="28" t="s">
        <v>114</v>
      </c>
      <c r="X59" s="29">
        <f>X57+X58</f>
        <v>-7</v>
      </c>
      <c r="Y59" s="109"/>
      <c r="Z59" s="26"/>
      <c r="AA59" s="159"/>
      <c r="AB59" s="159"/>
      <c r="AC59" s="229"/>
      <c r="AD59" s="229"/>
      <c r="AE59" s="159"/>
      <c r="AF59" s="159"/>
      <c r="AG59" s="26"/>
      <c r="AH59" s="20"/>
      <c r="AI59" s="20"/>
      <c r="AJ59" s="20"/>
      <c r="AK59" s="20"/>
      <c r="AL59" s="20"/>
      <c r="AM59" s="20"/>
      <c r="AN59" s="20"/>
      <c r="AO59" s="20"/>
      <c r="AP59" s="20"/>
    </row>
    <row r="60" spans="1:42" ht="14.25" x14ac:dyDescent="0.15">
      <c r="A60" s="135"/>
      <c r="B60" s="27" t="s">
        <v>34</v>
      </c>
      <c r="C60" s="28" t="s">
        <v>72</v>
      </c>
      <c r="D60" s="29">
        <v>1200</v>
      </c>
      <c r="E60" s="135"/>
      <c r="F60" s="27" t="s">
        <v>34</v>
      </c>
      <c r="G60" s="28" t="s">
        <v>72</v>
      </c>
      <c r="H60" s="29">
        <v>9600</v>
      </c>
      <c r="I60" s="138"/>
      <c r="J60" s="27" t="s">
        <v>34</v>
      </c>
      <c r="K60" s="28" t="s">
        <v>72</v>
      </c>
      <c r="L60" s="29">
        <v>1200</v>
      </c>
      <c r="M60" s="135"/>
      <c r="N60" s="27" t="s">
        <v>34</v>
      </c>
      <c r="O60" s="28" t="s">
        <v>72</v>
      </c>
      <c r="P60" s="29">
        <v>1200</v>
      </c>
      <c r="Q60" s="135"/>
      <c r="R60" s="144" t="s">
        <v>34</v>
      </c>
      <c r="S60" s="145" t="s">
        <v>72</v>
      </c>
      <c r="T60" s="146">
        <v>1200</v>
      </c>
      <c r="U60" s="135"/>
      <c r="V60" s="27" t="s">
        <v>34</v>
      </c>
      <c r="W60" s="28" t="s">
        <v>72</v>
      </c>
      <c r="X60" s="29">
        <v>1200</v>
      </c>
      <c r="Y60" s="109"/>
      <c r="Z60" s="26"/>
      <c r="AA60" s="159"/>
      <c r="AB60" s="159"/>
      <c r="AC60" s="229"/>
      <c r="AD60" s="229"/>
      <c r="AE60" s="159"/>
      <c r="AF60" s="227"/>
      <c r="AG60" s="20"/>
      <c r="AH60" s="20"/>
      <c r="AI60" s="20"/>
      <c r="AJ60" s="20"/>
      <c r="AK60" s="20"/>
      <c r="AL60" s="20"/>
      <c r="AM60" s="20"/>
      <c r="AN60" s="20"/>
      <c r="AO60" s="20"/>
      <c r="AP60" s="20"/>
    </row>
    <row r="61" spans="1:42" ht="14.25" x14ac:dyDescent="0.15">
      <c r="A61" s="135"/>
      <c r="B61" s="27"/>
      <c r="C61" s="28" t="s">
        <v>73</v>
      </c>
      <c r="D61" s="29">
        <f>10*LOG(D60)</f>
        <v>30.791812460476248</v>
      </c>
      <c r="E61" s="135"/>
      <c r="F61" s="27"/>
      <c r="G61" s="28" t="s">
        <v>73</v>
      </c>
      <c r="H61" s="29">
        <f>10*LOG(H60)</f>
        <v>39.822712330395682</v>
      </c>
      <c r="I61" s="138"/>
      <c r="J61" s="27"/>
      <c r="K61" s="28" t="s">
        <v>73</v>
      </c>
      <c r="L61" s="29">
        <f>10*LOG(L60)</f>
        <v>30.791812460476248</v>
      </c>
      <c r="M61" s="135"/>
      <c r="N61" s="27"/>
      <c r="O61" s="28" t="s">
        <v>73</v>
      </c>
      <c r="P61" s="29">
        <f>10*LOG(P60)</f>
        <v>30.791812460476248</v>
      </c>
      <c r="Q61" s="135"/>
      <c r="R61" s="144"/>
      <c r="S61" s="145" t="s">
        <v>73</v>
      </c>
      <c r="T61" s="146">
        <f>10*LOG(T60)</f>
        <v>30.791812460476248</v>
      </c>
      <c r="U61" s="135"/>
      <c r="V61" s="27"/>
      <c r="W61" s="28" t="s">
        <v>73</v>
      </c>
      <c r="X61" s="29">
        <f>10*LOG(X60)</f>
        <v>30.791812460476248</v>
      </c>
      <c r="Y61" s="109"/>
      <c r="Z61" s="26"/>
      <c r="AA61" s="26"/>
      <c r="AB61" s="26"/>
      <c r="AC61" s="26"/>
      <c r="AD61" s="26"/>
      <c r="AE61" s="26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</row>
    <row r="62" spans="1:42" ht="14.25" x14ac:dyDescent="0.15">
      <c r="A62" s="135"/>
      <c r="B62" s="27" t="s">
        <v>99</v>
      </c>
      <c r="C62" s="28" t="s">
        <v>100</v>
      </c>
      <c r="D62" s="29">
        <f>10^-6</f>
        <v>9.9999999999999995E-7</v>
      </c>
      <c r="E62" s="135"/>
      <c r="F62" s="27" t="s">
        <v>99</v>
      </c>
      <c r="G62" s="28" t="s">
        <v>100</v>
      </c>
      <c r="H62" s="29">
        <f>10^-6</f>
        <v>9.9999999999999995E-7</v>
      </c>
      <c r="I62" s="138"/>
      <c r="J62" s="27" t="s">
        <v>99</v>
      </c>
      <c r="K62" s="28" t="s">
        <v>100</v>
      </c>
      <c r="L62" s="29">
        <f>10^-6</f>
        <v>9.9999999999999995E-7</v>
      </c>
      <c r="M62" s="135"/>
      <c r="N62" s="27" t="s">
        <v>99</v>
      </c>
      <c r="O62" s="28" t="s">
        <v>100</v>
      </c>
      <c r="P62" s="29">
        <f>10^-6</f>
        <v>9.9999999999999995E-7</v>
      </c>
      <c r="Q62" s="135"/>
      <c r="R62" s="9" t="s">
        <v>99</v>
      </c>
      <c r="S62" s="4" t="s">
        <v>100</v>
      </c>
      <c r="T62" s="10">
        <f>10^-6</f>
        <v>9.9999999999999995E-7</v>
      </c>
      <c r="U62" s="135"/>
      <c r="V62" s="27" t="s">
        <v>99</v>
      </c>
      <c r="W62" s="28" t="s">
        <v>100</v>
      </c>
      <c r="X62" s="29">
        <f>10^-6</f>
        <v>9.9999999999999995E-7</v>
      </c>
      <c r="Y62" s="109"/>
      <c r="Z62" s="26"/>
      <c r="AA62" s="26"/>
      <c r="AB62" s="26"/>
      <c r="AC62" s="26"/>
      <c r="AD62" s="26"/>
      <c r="AE62" s="26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</row>
    <row r="63" spans="1:42" ht="14.25" x14ac:dyDescent="0.15">
      <c r="A63" s="135"/>
      <c r="B63" s="144" t="s">
        <v>35</v>
      </c>
      <c r="C63" s="145" t="s">
        <v>74</v>
      </c>
      <c r="D63" s="149">
        <f>D38-D52</f>
        <v>57.886725194701455</v>
      </c>
      <c r="E63" s="135"/>
      <c r="F63" s="144" t="s">
        <v>35</v>
      </c>
      <c r="G63" s="145" t="s">
        <v>74</v>
      </c>
      <c r="H63" s="146">
        <f>H38-H52</f>
        <v>57.746465566884723</v>
      </c>
      <c r="I63" s="138"/>
      <c r="J63" s="144" t="s">
        <v>35</v>
      </c>
      <c r="K63" s="145" t="s">
        <v>74</v>
      </c>
      <c r="L63" s="149">
        <f>L38-L52</f>
        <v>48.855825324782018</v>
      </c>
      <c r="M63" s="135"/>
      <c r="N63" s="144" t="s">
        <v>35</v>
      </c>
      <c r="O63" s="145" t="s">
        <v>74</v>
      </c>
      <c r="P63" s="149">
        <f>P38-P52</f>
        <v>81.847644637828921</v>
      </c>
      <c r="Q63" s="135"/>
      <c r="R63" s="144" t="s">
        <v>35</v>
      </c>
      <c r="S63" s="145" t="s">
        <v>74</v>
      </c>
      <c r="T63" s="149">
        <f>T38-T52</f>
        <v>74.857944594468734</v>
      </c>
      <c r="U63" s="135"/>
      <c r="V63" s="144" t="s">
        <v>35</v>
      </c>
      <c r="W63" s="145" t="s">
        <v>74</v>
      </c>
      <c r="X63" s="149">
        <f>X38-X52</f>
        <v>58.260059005978576</v>
      </c>
      <c r="Y63" s="109"/>
      <c r="Z63" s="26"/>
      <c r="AA63" s="26"/>
      <c r="AB63" s="26"/>
      <c r="AC63" s="26"/>
      <c r="AD63" s="26"/>
      <c r="AE63" s="26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</row>
    <row r="64" spans="1:42" ht="14.25" x14ac:dyDescent="0.15">
      <c r="A64" s="135"/>
      <c r="B64" s="27" t="s">
        <v>37</v>
      </c>
      <c r="C64" s="28" t="s">
        <v>101</v>
      </c>
      <c r="D64" s="29">
        <v>10.5</v>
      </c>
      <c r="E64" s="135"/>
      <c r="F64" s="27" t="s">
        <v>37</v>
      </c>
      <c r="G64" s="28" t="s">
        <v>101</v>
      </c>
      <c r="H64" s="29">
        <v>10.5</v>
      </c>
      <c r="I64" s="138"/>
      <c r="J64" s="27" t="s">
        <v>37</v>
      </c>
      <c r="K64" s="28" t="s">
        <v>101</v>
      </c>
      <c r="L64" s="29">
        <v>10.5</v>
      </c>
      <c r="M64" s="135"/>
      <c r="N64" s="27" t="s">
        <v>37</v>
      </c>
      <c r="O64" s="28" t="s">
        <v>101</v>
      </c>
      <c r="P64" s="29">
        <v>10.5</v>
      </c>
      <c r="Q64" s="135"/>
      <c r="R64" s="9" t="s">
        <v>37</v>
      </c>
      <c r="S64" s="4" t="s">
        <v>101</v>
      </c>
      <c r="T64" s="10">
        <v>10.5</v>
      </c>
      <c r="U64" s="135"/>
      <c r="V64" s="27" t="s">
        <v>37</v>
      </c>
      <c r="W64" s="28" t="s">
        <v>101</v>
      </c>
      <c r="X64" s="29">
        <v>10.5</v>
      </c>
      <c r="Y64" s="109"/>
      <c r="Z64" s="26"/>
      <c r="AA64" s="26"/>
      <c r="AB64" s="26"/>
      <c r="AC64" s="26"/>
      <c r="AD64" s="26"/>
      <c r="AE64" s="26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</row>
    <row r="65" spans="1:42" ht="14.25" x14ac:dyDescent="0.15">
      <c r="A65" s="135"/>
      <c r="B65" s="144" t="s">
        <v>36</v>
      </c>
      <c r="C65" s="145" t="s">
        <v>75</v>
      </c>
      <c r="D65" s="146">
        <f>D64-D59+D61</f>
        <v>48.291812460476251</v>
      </c>
      <c r="E65" s="135"/>
      <c r="F65" s="144" t="s">
        <v>36</v>
      </c>
      <c r="G65" s="145" t="s">
        <v>75</v>
      </c>
      <c r="H65" s="146">
        <f>H64-H59+H61</f>
        <v>57.322712330395682</v>
      </c>
      <c r="I65" s="138"/>
      <c r="J65" s="144" t="s">
        <v>36</v>
      </c>
      <c r="K65" s="145" t="s">
        <v>75</v>
      </c>
      <c r="L65" s="146">
        <f>L64-L59+L61</f>
        <v>48.291812460476251</v>
      </c>
      <c r="M65" s="135"/>
      <c r="N65" s="144" t="s">
        <v>36</v>
      </c>
      <c r="O65" s="145" t="s">
        <v>75</v>
      </c>
      <c r="P65" s="146">
        <f>P64-P59+P61</f>
        <v>48.291812460476251</v>
      </c>
      <c r="Q65" s="135"/>
      <c r="R65" s="144" t="s">
        <v>36</v>
      </c>
      <c r="S65" s="145" t="s">
        <v>75</v>
      </c>
      <c r="T65" s="146">
        <f>T64-T59+T61</f>
        <v>48.291812460476251</v>
      </c>
      <c r="U65" s="135"/>
      <c r="V65" s="144" t="s">
        <v>36</v>
      </c>
      <c r="W65" s="145" t="s">
        <v>75</v>
      </c>
      <c r="X65" s="146">
        <f>X64-X59+X61</f>
        <v>48.291812460476251</v>
      </c>
      <c r="Y65" s="109"/>
      <c r="Z65" s="26"/>
      <c r="AA65" s="26"/>
      <c r="AB65" s="26"/>
      <c r="AC65" s="26"/>
      <c r="AD65" s="26"/>
      <c r="AE65" s="26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</row>
    <row r="66" spans="1:42" ht="13.5" thickBot="1" x14ac:dyDescent="0.2">
      <c r="A66" s="135"/>
      <c r="B66" s="169" t="s">
        <v>102</v>
      </c>
      <c r="C66" s="170" t="s">
        <v>232</v>
      </c>
      <c r="D66" s="171">
        <f>D63-D65</f>
        <v>9.5949127342252041</v>
      </c>
      <c r="E66" s="172"/>
      <c r="F66" s="169" t="s">
        <v>102</v>
      </c>
      <c r="G66" s="170" t="s">
        <v>232</v>
      </c>
      <c r="H66" s="173">
        <f>H63-H65</f>
        <v>0.42375323648904129</v>
      </c>
      <c r="I66" s="174"/>
      <c r="J66" s="169" t="s">
        <v>102</v>
      </c>
      <c r="K66" s="170" t="s">
        <v>232</v>
      </c>
      <c r="L66" s="171">
        <f>L63-L65</f>
        <v>0.56401286430576647</v>
      </c>
      <c r="M66" s="172"/>
      <c r="N66" s="169" t="s">
        <v>102</v>
      </c>
      <c r="O66" s="170" t="s">
        <v>232</v>
      </c>
      <c r="P66" s="171">
        <f>P63-P65</f>
        <v>33.55583217735267</v>
      </c>
      <c r="Q66" s="172"/>
      <c r="R66" s="175" t="s">
        <v>102</v>
      </c>
      <c r="S66" s="176" t="s">
        <v>232</v>
      </c>
      <c r="T66" s="173">
        <f>T63-T65</f>
        <v>26.566132133992483</v>
      </c>
      <c r="U66" s="172"/>
      <c r="V66" s="169" t="s">
        <v>102</v>
      </c>
      <c r="W66" s="170" t="s">
        <v>232</v>
      </c>
      <c r="X66" s="171">
        <f>X63-X65</f>
        <v>9.9682465455023248</v>
      </c>
      <c r="Y66" s="109"/>
      <c r="Z66" s="26"/>
      <c r="AA66" s="26"/>
      <c r="AB66" s="26"/>
      <c r="AC66" s="26"/>
      <c r="AD66" s="26"/>
      <c r="AE66" s="26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</row>
    <row r="67" spans="1:42" x14ac:dyDescent="0.15">
      <c r="A67" s="135"/>
      <c r="B67" s="161"/>
      <c r="C67" s="161"/>
      <c r="D67" s="161"/>
      <c r="E67" s="135"/>
      <c r="F67" s="161"/>
      <c r="G67" s="161"/>
      <c r="H67" s="161"/>
      <c r="I67" s="135"/>
      <c r="J67" s="161"/>
      <c r="K67" s="161"/>
      <c r="L67" s="161"/>
      <c r="M67" s="135"/>
      <c r="N67" s="161"/>
      <c r="O67" s="161"/>
      <c r="P67" s="161"/>
      <c r="Q67" s="135"/>
      <c r="R67" s="161"/>
      <c r="S67" s="161"/>
      <c r="T67" s="161"/>
      <c r="U67" s="135"/>
      <c r="V67" s="161"/>
      <c r="W67" s="161"/>
      <c r="X67" s="161"/>
      <c r="Y67" s="109"/>
      <c r="Z67" s="26"/>
      <c r="AA67" s="26"/>
      <c r="AB67" s="26"/>
      <c r="AC67" s="26"/>
      <c r="AD67" s="26"/>
      <c r="AE67" s="26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</row>
    <row r="68" spans="1:42" ht="13.5" thickBot="1" x14ac:dyDescent="0.2">
      <c r="A68" s="135"/>
      <c r="B68" s="160" t="s">
        <v>337</v>
      </c>
      <c r="C68" s="160"/>
      <c r="D68" s="160"/>
      <c r="E68" s="135"/>
      <c r="F68" s="109"/>
      <c r="G68" s="109"/>
      <c r="H68" s="109"/>
      <c r="I68" s="135"/>
      <c r="J68" s="109"/>
      <c r="K68" s="160"/>
      <c r="L68" s="160"/>
      <c r="M68" s="135"/>
      <c r="N68" s="109"/>
      <c r="O68" s="160"/>
      <c r="P68" s="109"/>
      <c r="Q68" s="135"/>
      <c r="S68" s="162"/>
      <c r="U68" s="135"/>
      <c r="V68" s="160"/>
      <c r="W68" s="160"/>
      <c r="X68" s="109"/>
      <c r="Y68" s="109"/>
      <c r="Z68" s="26"/>
      <c r="AA68" s="26"/>
      <c r="AB68" s="26"/>
      <c r="AC68" s="26"/>
      <c r="AD68" s="26"/>
      <c r="AE68" s="26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</row>
    <row r="69" spans="1:42" ht="14.25" x14ac:dyDescent="0.15">
      <c r="A69" s="135"/>
      <c r="B69" s="156" t="s">
        <v>33</v>
      </c>
      <c r="C69" s="157" t="s">
        <v>71</v>
      </c>
      <c r="D69" s="158">
        <v>2</v>
      </c>
      <c r="E69" s="135"/>
      <c r="F69" s="156" t="s">
        <v>33</v>
      </c>
      <c r="G69" s="157" t="s">
        <v>71</v>
      </c>
      <c r="H69" s="158">
        <v>2</v>
      </c>
      <c r="I69" s="138"/>
      <c r="J69" s="156" t="s">
        <v>33</v>
      </c>
      <c r="K69" s="157" t="s">
        <v>71</v>
      </c>
      <c r="L69" s="158">
        <v>2</v>
      </c>
      <c r="M69" s="135"/>
      <c r="N69" s="156" t="s">
        <v>33</v>
      </c>
      <c r="O69" s="157" t="s">
        <v>71</v>
      </c>
      <c r="P69" s="158">
        <v>2</v>
      </c>
      <c r="Q69" s="135"/>
      <c r="R69" s="156" t="s">
        <v>33</v>
      </c>
      <c r="S69" s="157" t="s">
        <v>71</v>
      </c>
      <c r="T69" s="158">
        <v>2</v>
      </c>
      <c r="U69" s="135"/>
      <c r="V69" s="156" t="s">
        <v>33</v>
      </c>
      <c r="W69" s="157" t="s">
        <v>71</v>
      </c>
      <c r="X69" s="158">
        <v>2</v>
      </c>
      <c r="Y69" s="109"/>
      <c r="Z69" s="26"/>
      <c r="AA69" s="26"/>
      <c r="AB69" s="26"/>
      <c r="AC69" s="26"/>
      <c r="AD69" s="26"/>
      <c r="AE69" s="26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</row>
    <row r="70" spans="1:42" ht="14.25" x14ac:dyDescent="0.15">
      <c r="A70" s="135"/>
      <c r="B70" s="144" t="s">
        <v>111</v>
      </c>
      <c r="C70" s="145" t="s">
        <v>112</v>
      </c>
      <c r="D70" s="146">
        <v>0</v>
      </c>
      <c r="E70" s="135"/>
      <c r="F70" s="144" t="s">
        <v>111</v>
      </c>
      <c r="G70" s="145" t="s">
        <v>112</v>
      </c>
      <c r="H70" s="146">
        <v>0</v>
      </c>
      <c r="I70" s="138"/>
      <c r="J70" s="144" t="s">
        <v>111</v>
      </c>
      <c r="K70" s="145" t="s">
        <v>112</v>
      </c>
      <c r="L70" s="146">
        <v>0</v>
      </c>
      <c r="M70" s="135"/>
      <c r="N70" s="144" t="s">
        <v>111</v>
      </c>
      <c r="O70" s="145" t="s">
        <v>112</v>
      </c>
      <c r="P70" s="146">
        <v>0</v>
      </c>
      <c r="Q70" s="135"/>
      <c r="R70" s="144" t="s">
        <v>111</v>
      </c>
      <c r="S70" s="145" t="s">
        <v>112</v>
      </c>
      <c r="T70" s="146">
        <v>0</v>
      </c>
      <c r="U70" s="135"/>
      <c r="V70" s="144" t="s">
        <v>111</v>
      </c>
      <c r="W70" s="145" t="s">
        <v>112</v>
      </c>
      <c r="X70" s="146">
        <v>0</v>
      </c>
      <c r="Y70" s="109"/>
      <c r="Z70" s="26"/>
      <c r="AA70" s="26"/>
      <c r="AB70" s="26"/>
      <c r="AC70" s="26"/>
      <c r="AD70" s="26"/>
      <c r="AE70" s="26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</row>
    <row r="71" spans="1:42" ht="14.25" x14ac:dyDescent="0.15">
      <c r="A71" s="135"/>
      <c r="B71" s="27" t="s">
        <v>113</v>
      </c>
      <c r="C71" s="28" t="s">
        <v>114</v>
      </c>
      <c r="D71" s="29">
        <f>D69+D70</f>
        <v>2</v>
      </c>
      <c r="E71" s="135"/>
      <c r="F71" s="27" t="s">
        <v>113</v>
      </c>
      <c r="G71" s="28" t="s">
        <v>114</v>
      </c>
      <c r="H71" s="29">
        <f>H69+H70</f>
        <v>2</v>
      </c>
      <c r="I71" s="138"/>
      <c r="J71" s="27" t="s">
        <v>113</v>
      </c>
      <c r="K71" s="28" t="s">
        <v>114</v>
      </c>
      <c r="L71" s="29">
        <f>L69+L70</f>
        <v>2</v>
      </c>
      <c r="M71" s="135"/>
      <c r="N71" s="27" t="s">
        <v>113</v>
      </c>
      <c r="O71" s="28" t="s">
        <v>114</v>
      </c>
      <c r="P71" s="29">
        <f>P69+P70</f>
        <v>2</v>
      </c>
      <c r="Q71" s="135"/>
      <c r="R71" s="27" t="s">
        <v>113</v>
      </c>
      <c r="S71" s="28" t="s">
        <v>114</v>
      </c>
      <c r="T71" s="29">
        <f>T69+T70</f>
        <v>2</v>
      </c>
      <c r="U71" s="135"/>
      <c r="V71" s="27" t="s">
        <v>113</v>
      </c>
      <c r="W71" s="28" t="s">
        <v>114</v>
      </c>
      <c r="X71" s="29">
        <f>X69+X70</f>
        <v>2</v>
      </c>
      <c r="Y71" s="109"/>
      <c r="Z71" s="26"/>
      <c r="AA71" s="26"/>
      <c r="AB71" s="26"/>
      <c r="AC71" s="26"/>
      <c r="AD71" s="26"/>
      <c r="AE71" s="26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</row>
    <row r="72" spans="1:42" ht="14.25" x14ac:dyDescent="0.15">
      <c r="A72" s="135"/>
      <c r="B72" s="27" t="s">
        <v>34</v>
      </c>
      <c r="C72" s="28" t="s">
        <v>72</v>
      </c>
      <c r="D72" s="29">
        <v>1200</v>
      </c>
      <c r="E72" s="135"/>
      <c r="F72" s="27" t="s">
        <v>34</v>
      </c>
      <c r="G72" s="28" t="s">
        <v>72</v>
      </c>
      <c r="H72" s="29">
        <v>9600</v>
      </c>
      <c r="I72" s="138"/>
      <c r="J72" s="27" t="s">
        <v>34</v>
      </c>
      <c r="K72" s="28" t="s">
        <v>72</v>
      </c>
      <c r="L72" s="29">
        <v>1200</v>
      </c>
      <c r="M72" s="135"/>
      <c r="N72" s="27" t="s">
        <v>34</v>
      </c>
      <c r="O72" s="28" t="s">
        <v>72</v>
      </c>
      <c r="P72" s="29">
        <v>1200</v>
      </c>
      <c r="Q72" s="135"/>
      <c r="R72" s="144" t="s">
        <v>34</v>
      </c>
      <c r="S72" s="145" t="s">
        <v>72</v>
      </c>
      <c r="T72" s="146">
        <v>1200</v>
      </c>
      <c r="U72" s="135"/>
      <c r="V72" s="27" t="s">
        <v>34</v>
      </c>
      <c r="W72" s="28" t="s">
        <v>72</v>
      </c>
      <c r="X72" s="29">
        <v>1200</v>
      </c>
      <c r="Y72" s="109"/>
      <c r="Z72" s="26"/>
      <c r="AA72" s="26"/>
      <c r="AB72" s="26"/>
      <c r="AC72" s="26"/>
      <c r="AD72" s="26"/>
      <c r="AE72" s="26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</row>
    <row r="73" spans="1:42" ht="14.25" x14ac:dyDescent="0.15">
      <c r="A73" s="135"/>
      <c r="B73" s="27"/>
      <c r="C73" s="28" t="s">
        <v>73</v>
      </c>
      <c r="D73" s="29">
        <f>10*LOG(D72)</f>
        <v>30.791812460476248</v>
      </c>
      <c r="E73" s="135"/>
      <c r="F73" s="27"/>
      <c r="G73" s="28" t="s">
        <v>73</v>
      </c>
      <c r="H73" s="29">
        <f>10*LOG(H72)</f>
        <v>39.822712330395682</v>
      </c>
      <c r="I73" s="138"/>
      <c r="J73" s="27"/>
      <c r="K73" s="28" t="s">
        <v>73</v>
      </c>
      <c r="L73" s="29">
        <f>10*LOG(L72)</f>
        <v>30.791812460476248</v>
      </c>
      <c r="M73" s="135"/>
      <c r="N73" s="27"/>
      <c r="O73" s="28" t="s">
        <v>73</v>
      </c>
      <c r="P73" s="29">
        <f>10*LOG(P72)</f>
        <v>30.791812460476248</v>
      </c>
      <c r="Q73" s="135"/>
      <c r="R73" s="144"/>
      <c r="S73" s="145" t="s">
        <v>73</v>
      </c>
      <c r="T73" s="146">
        <f>10*LOG(T72)</f>
        <v>30.791812460476248</v>
      </c>
      <c r="U73" s="135"/>
      <c r="V73" s="27"/>
      <c r="W73" s="28" t="s">
        <v>73</v>
      </c>
      <c r="X73" s="29">
        <f>10*LOG(X72)</f>
        <v>30.791812460476248</v>
      </c>
      <c r="Y73" s="109"/>
      <c r="Z73" s="26"/>
      <c r="AA73" s="26"/>
      <c r="AB73" s="26"/>
      <c r="AC73" s="26"/>
      <c r="AD73" s="26"/>
      <c r="AE73" s="26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</row>
    <row r="74" spans="1:42" ht="14.25" x14ac:dyDescent="0.15">
      <c r="A74" s="135"/>
      <c r="B74" s="27" t="s">
        <v>99</v>
      </c>
      <c r="C74" s="28" t="s">
        <v>100</v>
      </c>
      <c r="D74" s="29">
        <f>10^-6</f>
        <v>9.9999999999999995E-7</v>
      </c>
      <c r="E74" s="135"/>
      <c r="F74" s="27" t="s">
        <v>99</v>
      </c>
      <c r="G74" s="28" t="s">
        <v>100</v>
      </c>
      <c r="H74" s="29">
        <f>10^-6</f>
        <v>9.9999999999999995E-7</v>
      </c>
      <c r="I74" s="138"/>
      <c r="J74" s="27" t="s">
        <v>99</v>
      </c>
      <c r="K74" s="28" t="s">
        <v>100</v>
      </c>
      <c r="L74" s="29">
        <f>10^-6</f>
        <v>9.9999999999999995E-7</v>
      </c>
      <c r="M74" s="135"/>
      <c r="N74" s="27" t="s">
        <v>99</v>
      </c>
      <c r="O74" s="28" t="s">
        <v>100</v>
      </c>
      <c r="P74" s="29">
        <f>10^-6</f>
        <v>9.9999999999999995E-7</v>
      </c>
      <c r="Q74" s="135"/>
      <c r="R74" s="9" t="s">
        <v>99</v>
      </c>
      <c r="S74" s="4" t="s">
        <v>100</v>
      </c>
      <c r="T74" s="10">
        <f>10^-6</f>
        <v>9.9999999999999995E-7</v>
      </c>
      <c r="U74" s="135"/>
      <c r="V74" s="27" t="s">
        <v>99</v>
      </c>
      <c r="W74" s="28" t="s">
        <v>100</v>
      </c>
      <c r="X74" s="29">
        <f>10^-6</f>
        <v>9.9999999999999995E-7</v>
      </c>
      <c r="Y74" s="109"/>
      <c r="Z74" s="26"/>
      <c r="AA74" s="26"/>
      <c r="AB74" s="26"/>
      <c r="AC74" s="26"/>
      <c r="AD74" s="26"/>
      <c r="AE74" s="26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</row>
    <row r="75" spans="1:42" ht="14.25" x14ac:dyDescent="0.15">
      <c r="A75" s="135"/>
      <c r="B75" s="144" t="s">
        <v>35</v>
      </c>
      <c r="C75" s="145" t="s">
        <v>74</v>
      </c>
      <c r="D75" s="147">
        <f>D38-D51</f>
        <v>15.845525368142205</v>
      </c>
      <c r="E75" s="135"/>
      <c r="F75" s="144" t="s">
        <v>35</v>
      </c>
      <c r="G75" s="145" t="s">
        <v>74</v>
      </c>
      <c r="H75" s="146">
        <f>H38-H51</f>
        <v>13.596732087176548</v>
      </c>
      <c r="I75" s="138"/>
      <c r="J75" s="144" t="s">
        <v>35</v>
      </c>
      <c r="K75" s="145" t="s">
        <v>74</v>
      </c>
      <c r="L75" s="149">
        <f>L38-L51</f>
        <v>21.86612528142183</v>
      </c>
      <c r="M75" s="135"/>
      <c r="N75" s="144" t="s">
        <v>35</v>
      </c>
      <c r="O75" s="145" t="s">
        <v>74</v>
      </c>
      <c r="P75" s="149">
        <f>P38-P51</f>
        <v>39.806444811269671</v>
      </c>
      <c r="Q75" s="135"/>
      <c r="R75" s="144" t="s">
        <v>35</v>
      </c>
      <c r="S75" s="145" t="s">
        <v>74</v>
      </c>
      <c r="T75" s="149">
        <f>T38-T51</f>
        <v>31.847644637828921</v>
      </c>
      <c r="U75" s="135"/>
      <c r="V75" s="144" t="s">
        <v>35</v>
      </c>
      <c r="W75" s="145" t="s">
        <v>74</v>
      </c>
      <c r="X75" s="149">
        <f>X38-X51</f>
        <v>15.249759049338763</v>
      </c>
      <c r="Y75" s="109"/>
      <c r="Z75" s="26"/>
      <c r="AA75" s="26"/>
      <c r="AB75" s="26"/>
      <c r="AC75" s="26"/>
      <c r="AD75" s="26"/>
      <c r="AE75" s="26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</row>
    <row r="76" spans="1:42" ht="14.25" x14ac:dyDescent="0.15">
      <c r="A76" s="135"/>
      <c r="B76" s="27" t="s">
        <v>37</v>
      </c>
      <c r="C76" s="28" t="s">
        <v>101</v>
      </c>
      <c r="D76" s="29">
        <v>10.5</v>
      </c>
      <c r="E76" s="135"/>
      <c r="F76" s="27" t="s">
        <v>37</v>
      </c>
      <c r="G76" s="28" t="s">
        <v>101</v>
      </c>
      <c r="H76" s="29">
        <v>10.5</v>
      </c>
      <c r="I76" s="138"/>
      <c r="J76" s="27" t="s">
        <v>37</v>
      </c>
      <c r="K76" s="28" t="s">
        <v>101</v>
      </c>
      <c r="L76" s="29">
        <v>10.5</v>
      </c>
      <c r="M76" s="135"/>
      <c r="N76" s="27" t="s">
        <v>37</v>
      </c>
      <c r="O76" s="28" t="s">
        <v>101</v>
      </c>
      <c r="P76" s="29">
        <v>10.5</v>
      </c>
      <c r="Q76" s="135"/>
      <c r="R76" s="9" t="s">
        <v>37</v>
      </c>
      <c r="S76" s="4" t="s">
        <v>101</v>
      </c>
      <c r="T76" s="10">
        <v>10.5</v>
      </c>
      <c r="U76" s="135"/>
      <c r="V76" s="27" t="s">
        <v>37</v>
      </c>
      <c r="W76" s="28" t="s">
        <v>101</v>
      </c>
      <c r="X76" s="29">
        <v>10.5</v>
      </c>
      <c r="Y76" s="109"/>
      <c r="Z76" s="26"/>
      <c r="AA76" s="26"/>
      <c r="AB76" s="26"/>
      <c r="AC76" s="26"/>
      <c r="AD76" s="26"/>
      <c r="AE76" s="26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</row>
    <row r="77" spans="1:42" ht="14.25" x14ac:dyDescent="0.15">
      <c r="A77" s="135"/>
      <c r="B77" s="144" t="s">
        <v>36</v>
      </c>
      <c r="C77" s="145" t="s">
        <v>75</v>
      </c>
      <c r="D77" s="146">
        <f>D76+D71</f>
        <v>12.5</v>
      </c>
      <c r="E77" s="135"/>
      <c r="F77" s="144" t="s">
        <v>36</v>
      </c>
      <c r="G77" s="145" t="s">
        <v>75</v>
      </c>
      <c r="H77" s="146">
        <f>H76+H71</f>
        <v>12.5</v>
      </c>
      <c r="I77" s="138"/>
      <c r="J77" s="144" t="s">
        <v>36</v>
      </c>
      <c r="K77" s="145" t="s">
        <v>75</v>
      </c>
      <c r="L77" s="146">
        <f>L76+L71</f>
        <v>12.5</v>
      </c>
      <c r="M77" s="135"/>
      <c r="N77" s="144" t="s">
        <v>36</v>
      </c>
      <c r="O77" s="145" t="s">
        <v>75</v>
      </c>
      <c r="P77" s="146">
        <f>P76+P71</f>
        <v>12.5</v>
      </c>
      <c r="Q77" s="135"/>
      <c r="R77" s="144" t="s">
        <v>36</v>
      </c>
      <c r="S77" s="145" t="s">
        <v>75</v>
      </c>
      <c r="T77" s="146">
        <f>T76+T71</f>
        <v>12.5</v>
      </c>
      <c r="U77" s="135"/>
      <c r="V77" s="144" t="s">
        <v>36</v>
      </c>
      <c r="W77" s="145" t="s">
        <v>75</v>
      </c>
      <c r="X77" s="146">
        <f>X76+X71</f>
        <v>12.5</v>
      </c>
      <c r="Y77" s="109"/>
      <c r="Z77" s="26"/>
      <c r="AA77" s="26"/>
      <c r="AB77" s="26"/>
      <c r="AC77" s="26"/>
      <c r="AD77" s="26"/>
      <c r="AE77" s="26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</row>
    <row r="78" spans="1:42" ht="13.5" thickBot="1" x14ac:dyDescent="0.2">
      <c r="A78" s="163"/>
      <c r="B78" s="164" t="s">
        <v>102</v>
      </c>
      <c r="C78" s="165" t="s">
        <v>232</v>
      </c>
      <c r="D78" s="226">
        <f>D75-D77</f>
        <v>3.345525368142205</v>
      </c>
      <c r="E78" s="163"/>
      <c r="F78" s="164" t="s">
        <v>102</v>
      </c>
      <c r="G78" s="165" t="s">
        <v>232</v>
      </c>
      <c r="H78" s="226">
        <f>H75-H77</f>
        <v>1.096732087176548</v>
      </c>
      <c r="I78" s="166"/>
      <c r="J78" s="164" t="s">
        <v>102</v>
      </c>
      <c r="K78" s="165" t="s">
        <v>232</v>
      </c>
      <c r="L78" s="226">
        <f>L75-L77</f>
        <v>9.3661252814218301</v>
      </c>
      <c r="M78" s="163"/>
      <c r="N78" s="167" t="s">
        <v>102</v>
      </c>
      <c r="O78" s="168" t="s">
        <v>232</v>
      </c>
      <c r="P78" s="226">
        <f>P75-P77</f>
        <v>27.306444811269671</v>
      </c>
      <c r="Q78" s="163"/>
      <c r="R78" s="164" t="s">
        <v>102</v>
      </c>
      <c r="S78" s="165" t="s">
        <v>232</v>
      </c>
      <c r="T78" s="226">
        <f>T75-T77</f>
        <v>19.347644637828921</v>
      </c>
      <c r="U78" s="163"/>
      <c r="V78" s="167" t="s">
        <v>102</v>
      </c>
      <c r="W78" s="168" t="s">
        <v>232</v>
      </c>
      <c r="X78" s="226">
        <f>X75-X77</f>
        <v>2.7497590493387634</v>
      </c>
      <c r="Y78" s="109"/>
      <c r="Z78" s="26"/>
      <c r="AA78" s="26"/>
      <c r="AB78" s="26"/>
      <c r="AC78" s="26"/>
      <c r="AD78" s="26"/>
      <c r="AE78" s="26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</row>
    <row r="79" spans="1:42" x14ac:dyDescent="0.15">
      <c r="A79" s="135"/>
      <c r="B79" s="138"/>
      <c r="C79" s="138"/>
      <c r="D79" s="138"/>
      <c r="E79" s="135"/>
      <c r="F79" s="138"/>
      <c r="G79" s="138"/>
      <c r="H79" s="138"/>
      <c r="I79" s="135"/>
      <c r="J79" s="138"/>
      <c r="K79" s="138"/>
      <c r="L79" s="138"/>
      <c r="M79" s="135"/>
      <c r="N79" s="138"/>
      <c r="O79" s="138"/>
      <c r="P79" s="138"/>
      <c r="Q79" s="135"/>
      <c r="R79" s="138"/>
      <c r="S79" s="138"/>
      <c r="T79" s="138"/>
      <c r="U79" s="135"/>
      <c r="V79" s="138"/>
      <c r="W79" s="138"/>
      <c r="X79" s="138"/>
      <c r="Y79" s="109"/>
      <c r="Z79" s="26"/>
      <c r="AA79" s="26"/>
      <c r="AB79" s="26"/>
      <c r="AC79" s="26"/>
      <c r="AD79" s="26"/>
      <c r="AE79" s="26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</row>
    <row r="80" spans="1:42" ht="13.5" x14ac:dyDescent="0.15">
      <c r="F80" s="135" t="s">
        <v>329</v>
      </c>
      <c r="R80" s="115"/>
      <c r="S80" s="115"/>
      <c r="T80" s="115"/>
      <c r="U80" s="115"/>
      <c r="V80" s="115"/>
      <c r="W80" s="115"/>
      <c r="X80" s="115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</row>
    <row r="81" spans="18:42" ht="13.5" x14ac:dyDescent="0.15">
      <c r="R81" s="115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</row>
    <row r="82" spans="18:42" ht="13.5" x14ac:dyDescent="0.15">
      <c r="R82" s="115"/>
    </row>
    <row r="83" spans="18:42" ht="13.5" x14ac:dyDescent="0.15">
      <c r="R83" s="115"/>
    </row>
  </sheetData>
  <mergeCells count="42">
    <mergeCell ref="W33:X33"/>
    <mergeCell ref="V15:X15"/>
    <mergeCell ref="V2:X2"/>
    <mergeCell ref="W3:X3"/>
    <mergeCell ref="W4:X4"/>
    <mergeCell ref="V24:X24"/>
    <mergeCell ref="V32:X32"/>
    <mergeCell ref="G33:H33"/>
    <mergeCell ref="K33:L33"/>
    <mergeCell ref="N24:P24"/>
    <mergeCell ref="N32:P32"/>
    <mergeCell ref="F24:H24"/>
    <mergeCell ref="F32:H32"/>
    <mergeCell ref="C3:D3"/>
    <mergeCell ref="G3:H3"/>
    <mergeCell ref="K3:L3"/>
    <mergeCell ref="O3:P3"/>
    <mergeCell ref="C4:D4"/>
    <mergeCell ref="G4:H4"/>
    <mergeCell ref="O4:P4"/>
    <mergeCell ref="N15:P15"/>
    <mergeCell ref="F15:H15"/>
    <mergeCell ref="S4:T4"/>
    <mergeCell ref="K4:L4"/>
    <mergeCell ref="B15:D15"/>
    <mergeCell ref="J15:L15"/>
    <mergeCell ref="R24:T24"/>
    <mergeCell ref="R32:T32"/>
    <mergeCell ref="S33:T33"/>
    <mergeCell ref="J2:L2"/>
    <mergeCell ref="B2:D2"/>
    <mergeCell ref="F2:H2"/>
    <mergeCell ref="N2:P2"/>
    <mergeCell ref="S3:T3"/>
    <mergeCell ref="R2:T2"/>
    <mergeCell ref="R15:T15"/>
    <mergeCell ref="O33:P33"/>
    <mergeCell ref="B24:D24"/>
    <mergeCell ref="B32:D32"/>
    <mergeCell ref="J24:L24"/>
    <mergeCell ref="J32:L32"/>
    <mergeCell ref="C33:D33"/>
  </mergeCells>
  <phoneticPr fontId="1"/>
  <pageMargins left="0.35433070866141736" right="0" top="0" bottom="0" header="0.51181102362204722" footer="0.51181102362204722"/>
  <pageSetup paperSize="8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opLeftCell="A40" zoomScale="115" zoomScaleNormal="115" workbookViewId="0">
      <selection activeCell="J53" sqref="J53"/>
    </sheetView>
  </sheetViews>
  <sheetFormatPr defaultRowHeight="13.5" x14ac:dyDescent="0.15"/>
  <cols>
    <col min="1" max="1" width="2.625" customWidth="1"/>
    <col min="2" max="2" width="24" customWidth="1"/>
    <col min="3" max="3" width="11.5" bestFit="1" customWidth="1"/>
    <col min="5" max="5" width="4.875" customWidth="1"/>
    <col min="6" max="6" width="25.25" customWidth="1"/>
    <col min="9" max="9" width="4" customWidth="1"/>
    <col min="10" max="10" width="24.25" customWidth="1"/>
    <col min="13" max="13" width="3.875" customWidth="1"/>
    <col min="14" max="14" width="25.75" customWidth="1"/>
  </cols>
  <sheetData>
    <row r="1" spans="1:16" ht="14.25" thickBo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25" thickBot="1" x14ac:dyDescent="0.2">
      <c r="A2" s="1"/>
      <c r="B2" s="182" t="s">
        <v>104</v>
      </c>
      <c r="C2" s="183"/>
      <c r="D2" s="184"/>
      <c r="E2" s="1"/>
      <c r="F2" s="182" t="s">
        <v>105</v>
      </c>
      <c r="G2" s="183"/>
      <c r="H2" s="184"/>
      <c r="I2" s="3"/>
      <c r="J2" s="182" t="s">
        <v>110</v>
      </c>
      <c r="K2" s="183"/>
      <c r="L2" s="184"/>
      <c r="M2" s="1"/>
      <c r="N2" s="182" t="s">
        <v>331</v>
      </c>
      <c r="O2" s="183"/>
      <c r="P2" s="184"/>
    </row>
    <row r="3" spans="1:16" x14ac:dyDescent="0.15">
      <c r="A3" s="1"/>
      <c r="B3" s="116" t="s">
        <v>0</v>
      </c>
      <c r="C3" s="192" t="s">
        <v>118</v>
      </c>
      <c r="D3" s="193"/>
      <c r="E3" s="109"/>
      <c r="F3" s="116" t="s">
        <v>0</v>
      </c>
      <c r="G3" s="192" t="s">
        <v>108</v>
      </c>
      <c r="H3" s="193"/>
      <c r="I3" s="26"/>
      <c r="J3" s="116" t="s">
        <v>0</v>
      </c>
      <c r="K3" s="192" t="s">
        <v>116</v>
      </c>
      <c r="L3" s="193"/>
      <c r="M3" s="109"/>
      <c r="N3" s="116" t="s">
        <v>0</v>
      </c>
      <c r="O3" s="192" t="s">
        <v>201</v>
      </c>
      <c r="P3" s="193"/>
    </row>
    <row r="4" spans="1:16" x14ac:dyDescent="0.15">
      <c r="A4" s="1"/>
      <c r="B4" s="117" t="s">
        <v>128</v>
      </c>
      <c r="C4" s="187" t="s">
        <v>206</v>
      </c>
      <c r="D4" s="188"/>
      <c r="E4" s="109"/>
      <c r="F4" s="117" t="s">
        <v>128</v>
      </c>
      <c r="G4" s="187" t="s">
        <v>206</v>
      </c>
      <c r="H4" s="188"/>
      <c r="I4" s="26"/>
      <c r="J4" s="117" t="s">
        <v>128</v>
      </c>
      <c r="K4" s="187" t="s">
        <v>206</v>
      </c>
      <c r="L4" s="188"/>
      <c r="M4" s="109"/>
      <c r="N4" s="117" t="s">
        <v>204</v>
      </c>
      <c r="O4" s="187" t="s">
        <v>205</v>
      </c>
      <c r="P4" s="188"/>
    </row>
    <row r="5" spans="1:16" x14ac:dyDescent="0.15">
      <c r="A5" s="1"/>
      <c r="B5" s="27" t="s">
        <v>1</v>
      </c>
      <c r="C5" s="28" t="s">
        <v>38</v>
      </c>
      <c r="D5" s="133">
        <v>400</v>
      </c>
      <c r="E5" s="109"/>
      <c r="F5" s="27" t="s">
        <v>1</v>
      </c>
      <c r="G5" s="28" t="s">
        <v>38</v>
      </c>
      <c r="H5" s="133">
        <v>400</v>
      </c>
      <c r="I5" s="26"/>
      <c r="J5" s="27" t="s">
        <v>1</v>
      </c>
      <c r="K5" s="28" t="s">
        <v>38</v>
      </c>
      <c r="L5" s="133">
        <v>400</v>
      </c>
      <c r="M5" s="109"/>
      <c r="N5" s="27" t="s">
        <v>1</v>
      </c>
      <c r="O5" s="28" t="s">
        <v>38</v>
      </c>
      <c r="P5" s="133">
        <v>400</v>
      </c>
    </row>
    <row r="6" spans="1:16" x14ac:dyDescent="0.15">
      <c r="A6" s="1"/>
      <c r="B6" s="27" t="s">
        <v>76</v>
      </c>
      <c r="C6" s="28" t="s">
        <v>77</v>
      </c>
      <c r="D6" s="29">
        <v>6378.1419999999998</v>
      </c>
      <c r="E6" s="109"/>
      <c r="F6" s="27" t="s">
        <v>76</v>
      </c>
      <c r="G6" s="28" t="s">
        <v>77</v>
      </c>
      <c r="H6" s="29">
        <v>6378.1419999999998</v>
      </c>
      <c r="I6" s="26"/>
      <c r="J6" s="27" t="s">
        <v>76</v>
      </c>
      <c r="K6" s="28" t="s">
        <v>77</v>
      </c>
      <c r="L6" s="29">
        <v>6378.1419999999998</v>
      </c>
      <c r="M6" s="109"/>
      <c r="N6" s="27" t="s">
        <v>76</v>
      </c>
      <c r="O6" s="28" t="s">
        <v>77</v>
      </c>
      <c r="P6" s="29">
        <v>6378.1419999999998</v>
      </c>
    </row>
    <row r="7" spans="1:16" ht="14.25" x14ac:dyDescent="0.15">
      <c r="A7" s="1"/>
      <c r="B7" s="27" t="s">
        <v>2</v>
      </c>
      <c r="C7" s="28" t="s">
        <v>41</v>
      </c>
      <c r="D7" s="29">
        <v>5</v>
      </c>
      <c r="E7" s="109"/>
      <c r="F7" s="27" t="s">
        <v>2</v>
      </c>
      <c r="G7" s="28" t="s">
        <v>41</v>
      </c>
      <c r="H7" s="29">
        <v>5</v>
      </c>
      <c r="I7" s="26"/>
      <c r="J7" s="27" t="s">
        <v>2</v>
      </c>
      <c r="K7" s="28" t="s">
        <v>41</v>
      </c>
      <c r="L7" s="29">
        <v>5</v>
      </c>
      <c r="M7" s="109"/>
      <c r="N7" s="27" t="s">
        <v>2</v>
      </c>
      <c r="O7" s="28" t="s">
        <v>41</v>
      </c>
      <c r="P7" s="29">
        <v>5</v>
      </c>
    </row>
    <row r="8" spans="1:16" ht="14.25" x14ac:dyDescent="0.15">
      <c r="A8" s="1"/>
      <c r="B8" s="27"/>
      <c r="C8" s="28" t="s">
        <v>42</v>
      </c>
      <c r="D8" s="29">
        <f>D7*PI()/180</f>
        <v>8.7266462599716474E-2</v>
      </c>
      <c r="E8" s="109"/>
      <c r="F8" s="27"/>
      <c r="G8" s="28" t="s">
        <v>42</v>
      </c>
      <c r="H8" s="29">
        <f>H7*PI()/180</f>
        <v>8.7266462599716474E-2</v>
      </c>
      <c r="I8" s="26"/>
      <c r="J8" s="27"/>
      <c r="K8" s="28" t="s">
        <v>42</v>
      </c>
      <c r="L8" s="29">
        <f>L7*PI()/180</f>
        <v>8.7266462599716474E-2</v>
      </c>
      <c r="M8" s="109"/>
      <c r="N8" s="27"/>
      <c r="O8" s="28" t="s">
        <v>42</v>
      </c>
      <c r="P8" s="29">
        <f>P7*PI()/180</f>
        <v>8.7266462599716474E-2</v>
      </c>
    </row>
    <row r="9" spans="1:16" x14ac:dyDescent="0.15">
      <c r="A9" s="1"/>
      <c r="B9" s="27" t="s">
        <v>3</v>
      </c>
      <c r="C9" s="28" t="s">
        <v>40</v>
      </c>
      <c r="D9" s="29">
        <f>ACOS(D6*COS(D8)/(D6+D5))-D8</f>
        <v>0.26842465522358483</v>
      </c>
      <c r="E9" s="109"/>
      <c r="F9" s="27" t="s">
        <v>3</v>
      </c>
      <c r="G9" s="28" t="s">
        <v>40</v>
      </c>
      <c r="H9" s="29">
        <f>ACOS(H6*COS(H8)/(H6+H5))-H8</f>
        <v>0.26842465522358483</v>
      </c>
      <c r="I9" s="26"/>
      <c r="J9" s="27" t="s">
        <v>3</v>
      </c>
      <c r="K9" s="28" t="s">
        <v>40</v>
      </c>
      <c r="L9" s="29">
        <f>ACOS(L6*COS(L8)/(L6+L5))-L8</f>
        <v>0.26842465522358483</v>
      </c>
      <c r="M9" s="109"/>
      <c r="N9" s="27" t="s">
        <v>3</v>
      </c>
      <c r="O9" s="28" t="s">
        <v>40</v>
      </c>
      <c r="P9" s="29">
        <f>ACOS(P6*COS(P8)/(P6+P5))-P8</f>
        <v>0.26842465522358483</v>
      </c>
    </row>
    <row r="10" spans="1:16" x14ac:dyDescent="0.15">
      <c r="A10" s="1"/>
      <c r="B10" s="27"/>
      <c r="C10" s="28" t="s">
        <v>39</v>
      </c>
      <c r="D10" s="29">
        <f>D9*180/PI()</f>
        <v>15.379599861565659</v>
      </c>
      <c r="E10" s="109"/>
      <c r="F10" s="27"/>
      <c r="G10" s="28" t="s">
        <v>39</v>
      </c>
      <c r="H10" s="29">
        <f>H9*180/PI()</f>
        <v>15.379599861565659</v>
      </c>
      <c r="I10" s="26"/>
      <c r="J10" s="27"/>
      <c r="K10" s="28" t="s">
        <v>39</v>
      </c>
      <c r="L10" s="29">
        <f>L9*180/PI()</f>
        <v>15.379599861565659</v>
      </c>
      <c r="M10" s="109"/>
      <c r="N10" s="27"/>
      <c r="O10" s="28" t="s">
        <v>39</v>
      </c>
      <c r="P10" s="29">
        <f>P9*180/PI()</f>
        <v>15.379599861565659</v>
      </c>
    </row>
    <row r="11" spans="1:16" x14ac:dyDescent="0.15">
      <c r="A11" s="1"/>
      <c r="B11" s="27" t="s">
        <v>4</v>
      </c>
      <c r="C11" s="28" t="s">
        <v>43</v>
      </c>
      <c r="D11" s="118">
        <f>(D6+D5)*SIN(D9)/COS(D8)</f>
        <v>1804.5169870714603</v>
      </c>
      <c r="E11" s="109"/>
      <c r="F11" s="27" t="s">
        <v>4</v>
      </c>
      <c r="G11" s="28" t="s">
        <v>43</v>
      </c>
      <c r="H11" s="118">
        <f>(H6+H5)*SIN(H9)/COS(H8)</f>
        <v>1804.5169870714603</v>
      </c>
      <c r="I11" s="111"/>
      <c r="J11" s="27" t="s">
        <v>4</v>
      </c>
      <c r="K11" s="28" t="s">
        <v>43</v>
      </c>
      <c r="L11" s="118">
        <f>(L6+L5)*SIN(L9)/COS(L8)</f>
        <v>1804.5169870714603</v>
      </c>
      <c r="M11" s="109"/>
      <c r="N11" s="27" t="s">
        <v>4</v>
      </c>
      <c r="O11" s="28" t="s">
        <v>43</v>
      </c>
      <c r="P11" s="118">
        <f>(P6+P5)*SIN(P9)/COS(P8)</f>
        <v>1804.5169870714603</v>
      </c>
    </row>
    <row r="12" spans="1:16" x14ac:dyDescent="0.15">
      <c r="A12" s="1"/>
      <c r="B12" s="27" t="s">
        <v>80</v>
      </c>
      <c r="C12" s="28" t="s">
        <v>81</v>
      </c>
      <c r="D12" s="119">
        <f>3*10^8</f>
        <v>300000000</v>
      </c>
      <c r="E12" s="109"/>
      <c r="F12" s="27" t="s">
        <v>80</v>
      </c>
      <c r="G12" s="28" t="s">
        <v>81</v>
      </c>
      <c r="H12" s="119">
        <f>3*10^8</f>
        <v>300000000</v>
      </c>
      <c r="I12" s="112"/>
      <c r="J12" s="27" t="s">
        <v>80</v>
      </c>
      <c r="K12" s="28" t="s">
        <v>81</v>
      </c>
      <c r="L12" s="119">
        <f>3*10^8</f>
        <v>300000000</v>
      </c>
      <c r="M12" s="109"/>
      <c r="N12" s="27" t="s">
        <v>80</v>
      </c>
      <c r="O12" s="28" t="s">
        <v>81</v>
      </c>
      <c r="P12" s="119">
        <f>3*10^8</f>
        <v>300000000</v>
      </c>
    </row>
    <row r="13" spans="1:16" ht="14.25" thickBot="1" x14ac:dyDescent="0.2">
      <c r="A13" s="1"/>
      <c r="B13" s="120" t="s">
        <v>92</v>
      </c>
      <c r="C13" s="121" t="s">
        <v>93</v>
      </c>
      <c r="D13" s="122">
        <f>1.38*10^-23</f>
        <v>1.3800000000000001E-23</v>
      </c>
      <c r="E13" s="109"/>
      <c r="F13" s="120" t="s">
        <v>92</v>
      </c>
      <c r="G13" s="121" t="s">
        <v>93</v>
      </c>
      <c r="H13" s="122">
        <f>1.38*10^-23</f>
        <v>1.3800000000000001E-23</v>
      </c>
      <c r="I13" s="113"/>
      <c r="J13" s="120" t="s">
        <v>92</v>
      </c>
      <c r="K13" s="121" t="s">
        <v>93</v>
      </c>
      <c r="L13" s="122">
        <f>1.38*10^-23</f>
        <v>1.3800000000000001E-23</v>
      </c>
      <c r="M13" s="109"/>
      <c r="N13" s="120" t="s">
        <v>92</v>
      </c>
      <c r="O13" s="121" t="s">
        <v>93</v>
      </c>
      <c r="P13" s="122">
        <f>1.38*10^-23</f>
        <v>1.3800000000000001E-23</v>
      </c>
    </row>
    <row r="14" spans="1:16" ht="14.25" thickBot="1" x14ac:dyDescent="0.2">
      <c r="A14" s="1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</row>
    <row r="15" spans="1:16" x14ac:dyDescent="0.15">
      <c r="A15" s="1"/>
      <c r="B15" s="189" t="s">
        <v>10</v>
      </c>
      <c r="C15" s="190"/>
      <c r="D15" s="191"/>
      <c r="E15" s="109"/>
      <c r="F15" s="189" t="s">
        <v>10</v>
      </c>
      <c r="G15" s="190"/>
      <c r="H15" s="191"/>
      <c r="I15" s="110"/>
      <c r="J15" s="189" t="s">
        <v>10</v>
      </c>
      <c r="K15" s="190"/>
      <c r="L15" s="191"/>
      <c r="M15" s="109"/>
      <c r="N15" s="189" t="s">
        <v>109</v>
      </c>
      <c r="O15" s="190"/>
      <c r="P15" s="191"/>
    </row>
    <row r="16" spans="1:16" x14ac:dyDescent="0.15">
      <c r="A16" s="1"/>
      <c r="B16" s="27" t="s">
        <v>6</v>
      </c>
      <c r="C16" s="28" t="s">
        <v>44</v>
      </c>
      <c r="D16" s="29">
        <v>430</v>
      </c>
      <c r="E16" s="109"/>
      <c r="F16" s="27" t="s">
        <v>6</v>
      </c>
      <c r="G16" s="28" t="s">
        <v>44</v>
      </c>
      <c r="H16" s="29">
        <v>430</v>
      </c>
      <c r="I16" s="26"/>
      <c r="J16" s="27" t="s">
        <v>6</v>
      </c>
      <c r="K16" s="28" t="s">
        <v>44</v>
      </c>
      <c r="L16" s="29">
        <v>430</v>
      </c>
      <c r="M16" s="109"/>
      <c r="N16" s="27" t="s">
        <v>6</v>
      </c>
      <c r="O16" s="28" t="s">
        <v>44</v>
      </c>
      <c r="P16" s="133">
        <v>144</v>
      </c>
    </row>
    <row r="17" spans="1:16" ht="14.25" x14ac:dyDescent="0.15">
      <c r="A17" s="1"/>
      <c r="B17" s="27" t="s">
        <v>5</v>
      </c>
      <c r="C17" s="28" t="s">
        <v>45</v>
      </c>
      <c r="D17" s="29">
        <v>0.6</v>
      </c>
      <c r="E17" s="109"/>
      <c r="F17" s="27" t="s">
        <v>5</v>
      </c>
      <c r="G17" s="28" t="s">
        <v>45</v>
      </c>
      <c r="H17" s="29">
        <v>0.6</v>
      </c>
      <c r="I17" s="26"/>
      <c r="J17" s="27" t="s">
        <v>5</v>
      </c>
      <c r="K17" s="28" t="s">
        <v>45</v>
      </c>
      <c r="L17" s="29">
        <v>0.1</v>
      </c>
      <c r="M17" s="109"/>
      <c r="N17" s="27" t="s">
        <v>5</v>
      </c>
      <c r="O17" s="28" t="s">
        <v>45</v>
      </c>
      <c r="P17" s="29">
        <v>50</v>
      </c>
    </row>
    <row r="18" spans="1:16" ht="14.25" x14ac:dyDescent="0.15">
      <c r="A18" s="1"/>
      <c r="B18" s="27"/>
      <c r="C18" s="28" t="s">
        <v>78</v>
      </c>
      <c r="D18" s="29">
        <f>10*LOG(D17)</f>
        <v>-2.2184874961635641</v>
      </c>
      <c r="E18" s="109"/>
      <c r="F18" s="27"/>
      <c r="G18" s="28" t="s">
        <v>78</v>
      </c>
      <c r="H18" s="29">
        <f>10*LOG(H17)</f>
        <v>-2.2184874961635641</v>
      </c>
      <c r="I18" s="26"/>
      <c r="J18" s="27"/>
      <c r="K18" s="28" t="s">
        <v>78</v>
      </c>
      <c r="L18" s="29">
        <f>10*LOG(L17)</f>
        <v>-10</v>
      </c>
      <c r="M18" s="109"/>
      <c r="N18" s="27"/>
      <c r="O18" s="28" t="s">
        <v>78</v>
      </c>
      <c r="P18" s="29">
        <f>10*LOG(P17)</f>
        <v>16.989700043360187</v>
      </c>
    </row>
    <row r="19" spans="1:16" ht="14.25" x14ac:dyDescent="0.15">
      <c r="A19" s="1"/>
      <c r="B19" s="27" t="s">
        <v>7</v>
      </c>
      <c r="C19" s="28" t="s">
        <v>46</v>
      </c>
      <c r="D19" s="29">
        <v>-2</v>
      </c>
      <c r="E19" s="109"/>
      <c r="F19" s="27" t="s">
        <v>7</v>
      </c>
      <c r="G19" s="28" t="s">
        <v>46</v>
      </c>
      <c r="H19" s="29">
        <v>-2</v>
      </c>
      <c r="I19" s="26"/>
      <c r="J19" s="27" t="s">
        <v>7</v>
      </c>
      <c r="K19" s="28" t="s">
        <v>46</v>
      </c>
      <c r="L19" s="29">
        <v>-2</v>
      </c>
      <c r="M19" s="109"/>
      <c r="N19" s="27" t="s">
        <v>7</v>
      </c>
      <c r="O19" s="28" t="s">
        <v>46</v>
      </c>
      <c r="P19" s="29">
        <v>-2</v>
      </c>
    </row>
    <row r="20" spans="1:16" ht="14.25" x14ac:dyDescent="0.15">
      <c r="A20" s="1"/>
      <c r="B20" s="27" t="s">
        <v>8</v>
      </c>
      <c r="C20" s="28" t="s">
        <v>47</v>
      </c>
      <c r="D20" s="29">
        <v>-2</v>
      </c>
      <c r="E20" s="123"/>
      <c r="F20" s="27" t="s">
        <v>8</v>
      </c>
      <c r="G20" s="28" t="s">
        <v>47</v>
      </c>
      <c r="H20" s="29">
        <v>-2</v>
      </c>
      <c r="I20" s="26"/>
      <c r="J20" s="27" t="s">
        <v>8</v>
      </c>
      <c r="K20" s="28" t="s">
        <v>47</v>
      </c>
      <c r="L20" s="29">
        <v>-2</v>
      </c>
      <c r="M20" s="109"/>
      <c r="N20" s="27" t="s">
        <v>8</v>
      </c>
      <c r="O20" s="28" t="s">
        <v>47</v>
      </c>
      <c r="P20" s="29">
        <v>13</v>
      </c>
    </row>
    <row r="21" spans="1:16" ht="14.25" x14ac:dyDescent="0.15">
      <c r="A21" s="1"/>
      <c r="B21" s="27" t="s">
        <v>9</v>
      </c>
      <c r="C21" s="28" t="s">
        <v>48</v>
      </c>
      <c r="D21" s="29">
        <f>D18+D19+D20</f>
        <v>-6.2184874961635641</v>
      </c>
      <c r="E21" s="109"/>
      <c r="F21" s="27" t="s">
        <v>9</v>
      </c>
      <c r="G21" s="28" t="s">
        <v>48</v>
      </c>
      <c r="H21" s="29">
        <f>H18+H19+H20</f>
        <v>-6.2184874961635641</v>
      </c>
      <c r="I21" s="26"/>
      <c r="J21" s="27" t="s">
        <v>9</v>
      </c>
      <c r="K21" s="28" t="s">
        <v>48</v>
      </c>
      <c r="L21" s="29">
        <f>L18+L19+L20</f>
        <v>-14</v>
      </c>
      <c r="M21" s="109"/>
      <c r="N21" s="27" t="s">
        <v>9</v>
      </c>
      <c r="O21" s="28" t="s">
        <v>48</v>
      </c>
      <c r="P21" s="29">
        <f>P18+P19+P20</f>
        <v>27.989700043360187</v>
      </c>
    </row>
    <row r="22" spans="1:16" ht="15" thickBot="1" x14ac:dyDescent="0.2">
      <c r="A22" s="1"/>
      <c r="B22" s="120" t="s">
        <v>20</v>
      </c>
      <c r="C22" s="121" t="s">
        <v>49</v>
      </c>
      <c r="D22" s="124">
        <v>0</v>
      </c>
      <c r="E22" s="109"/>
      <c r="F22" s="120" t="s">
        <v>20</v>
      </c>
      <c r="G22" s="121" t="s">
        <v>49</v>
      </c>
      <c r="H22" s="124">
        <v>0</v>
      </c>
      <c r="I22" s="26"/>
      <c r="J22" s="120" t="s">
        <v>20</v>
      </c>
      <c r="K22" s="121" t="s">
        <v>49</v>
      </c>
      <c r="L22" s="124">
        <v>0</v>
      </c>
      <c r="M22" s="109"/>
      <c r="N22" s="120" t="s">
        <v>20</v>
      </c>
      <c r="O22" s="121" t="s">
        <v>49</v>
      </c>
      <c r="P22" s="124">
        <v>0</v>
      </c>
    </row>
    <row r="23" spans="1:16" ht="14.25" thickBot="1" x14ac:dyDescent="0.2">
      <c r="A23" s="1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</row>
    <row r="24" spans="1:16" x14ac:dyDescent="0.15">
      <c r="A24" s="1"/>
      <c r="B24" s="189" t="s">
        <v>11</v>
      </c>
      <c r="C24" s="190"/>
      <c r="D24" s="191"/>
      <c r="E24" s="109"/>
      <c r="F24" s="189" t="s">
        <v>11</v>
      </c>
      <c r="G24" s="190"/>
      <c r="H24" s="191"/>
      <c r="I24" s="110"/>
      <c r="J24" s="189" t="s">
        <v>11</v>
      </c>
      <c r="K24" s="190"/>
      <c r="L24" s="191"/>
      <c r="M24" s="109"/>
      <c r="N24" s="189" t="s">
        <v>11</v>
      </c>
      <c r="O24" s="190"/>
      <c r="P24" s="191"/>
    </row>
    <row r="25" spans="1:16" ht="14.25" x14ac:dyDescent="0.15">
      <c r="A25" s="1"/>
      <c r="B25" s="27" t="s">
        <v>12</v>
      </c>
      <c r="C25" s="28" t="s">
        <v>55</v>
      </c>
      <c r="D25" s="125">
        <f>-(20*LOG(4*PI()*D16*10^6*D11/(D12*10^-3)))</f>
        <v>-150.2383607917651</v>
      </c>
      <c r="E25" s="109"/>
      <c r="F25" s="27" t="s">
        <v>12</v>
      </c>
      <c r="G25" s="28" t="s">
        <v>55</v>
      </c>
      <c r="H25" s="125">
        <f>-(20*LOG(4*PI()*H16*10^6*H11/(H12*10^-3)))</f>
        <v>-150.2383607917651</v>
      </c>
      <c r="I25" s="114"/>
      <c r="J25" s="27" t="s">
        <v>12</v>
      </c>
      <c r="K25" s="28" t="s">
        <v>55</v>
      </c>
      <c r="L25" s="125">
        <f>-(20*LOG(4*PI()*L16*10^6*L11/(L12*10^-3)))</f>
        <v>-150.2383607917651</v>
      </c>
      <c r="M25" s="109"/>
      <c r="N25" s="27" t="s">
        <v>12</v>
      </c>
      <c r="O25" s="28" t="s">
        <v>55</v>
      </c>
      <c r="P25" s="125">
        <f>-(20*LOG(4*PI()*P16*10^6*P11/(P12*10^-3)))</f>
        <v>-140.73624152207839</v>
      </c>
    </row>
    <row r="26" spans="1:16" ht="14.25" x14ac:dyDescent="0.15">
      <c r="A26" s="1"/>
      <c r="B26" s="27" t="s">
        <v>13</v>
      </c>
      <c r="C26" s="28" t="s">
        <v>50</v>
      </c>
      <c r="D26" s="29">
        <v>-3</v>
      </c>
      <c r="E26" s="109"/>
      <c r="F26" s="27" t="s">
        <v>13</v>
      </c>
      <c r="G26" s="28" t="s">
        <v>50</v>
      </c>
      <c r="H26" s="29">
        <v>-3</v>
      </c>
      <c r="I26" s="26"/>
      <c r="J26" s="27" t="s">
        <v>13</v>
      </c>
      <c r="K26" s="28" t="s">
        <v>50</v>
      </c>
      <c r="L26" s="29">
        <v>-3</v>
      </c>
      <c r="M26" s="109"/>
      <c r="N26" s="27" t="s">
        <v>13</v>
      </c>
      <c r="O26" s="28" t="s">
        <v>50</v>
      </c>
      <c r="P26" s="29">
        <v>-3</v>
      </c>
    </row>
    <row r="27" spans="1:16" ht="14.25" x14ac:dyDescent="0.15">
      <c r="A27" s="1"/>
      <c r="B27" s="27" t="s">
        <v>14</v>
      </c>
      <c r="C27" s="28" t="s">
        <v>51</v>
      </c>
      <c r="D27" s="29">
        <v>0</v>
      </c>
      <c r="E27" s="109"/>
      <c r="F27" s="27" t="s">
        <v>14</v>
      </c>
      <c r="G27" s="28" t="s">
        <v>51</v>
      </c>
      <c r="H27" s="29">
        <v>0</v>
      </c>
      <c r="I27" s="26"/>
      <c r="J27" s="27" t="s">
        <v>14</v>
      </c>
      <c r="K27" s="28" t="s">
        <v>51</v>
      </c>
      <c r="L27" s="29">
        <v>0</v>
      </c>
      <c r="M27" s="109"/>
      <c r="N27" s="27" t="s">
        <v>14</v>
      </c>
      <c r="O27" s="28" t="s">
        <v>51</v>
      </c>
      <c r="P27" s="29">
        <v>0</v>
      </c>
    </row>
    <row r="28" spans="1:16" ht="14.25" x14ac:dyDescent="0.15">
      <c r="A28" s="1"/>
      <c r="B28" s="27" t="s">
        <v>15</v>
      </c>
      <c r="C28" s="28" t="s">
        <v>52</v>
      </c>
      <c r="D28" s="29">
        <v>0</v>
      </c>
      <c r="E28" s="109"/>
      <c r="F28" s="27" t="s">
        <v>15</v>
      </c>
      <c r="G28" s="28" t="s">
        <v>52</v>
      </c>
      <c r="H28" s="29">
        <v>0</v>
      </c>
      <c r="I28" s="26"/>
      <c r="J28" s="27" t="s">
        <v>15</v>
      </c>
      <c r="K28" s="28" t="s">
        <v>52</v>
      </c>
      <c r="L28" s="29">
        <v>0</v>
      </c>
      <c r="M28" s="109"/>
      <c r="N28" s="27" t="s">
        <v>15</v>
      </c>
      <c r="O28" s="28" t="s">
        <v>52</v>
      </c>
      <c r="P28" s="29">
        <v>0</v>
      </c>
    </row>
    <row r="29" spans="1:16" ht="14.25" x14ac:dyDescent="0.15">
      <c r="A29" s="1"/>
      <c r="B29" s="27" t="s">
        <v>16</v>
      </c>
      <c r="C29" s="28" t="s">
        <v>53</v>
      </c>
      <c r="D29" s="29">
        <v>0</v>
      </c>
      <c r="E29" s="109"/>
      <c r="F29" s="27" t="s">
        <v>16</v>
      </c>
      <c r="G29" s="28" t="s">
        <v>53</v>
      </c>
      <c r="H29" s="29">
        <v>0</v>
      </c>
      <c r="I29" s="26"/>
      <c r="J29" s="27" t="s">
        <v>16</v>
      </c>
      <c r="K29" s="28" t="s">
        <v>53</v>
      </c>
      <c r="L29" s="29">
        <v>0</v>
      </c>
      <c r="M29" s="109"/>
      <c r="N29" s="27" t="s">
        <v>16</v>
      </c>
      <c r="O29" s="28" t="s">
        <v>53</v>
      </c>
      <c r="P29" s="29">
        <v>0</v>
      </c>
    </row>
    <row r="30" spans="1:16" ht="15" thickBot="1" x14ac:dyDescent="0.2">
      <c r="A30" s="1"/>
      <c r="B30" s="120" t="s">
        <v>17</v>
      </c>
      <c r="C30" s="121" t="s">
        <v>54</v>
      </c>
      <c r="D30" s="124">
        <f>D25+D26+D27+D28+D29</f>
        <v>-153.2383607917651</v>
      </c>
      <c r="E30" s="109"/>
      <c r="F30" s="120" t="s">
        <v>17</v>
      </c>
      <c r="G30" s="121" t="s">
        <v>54</v>
      </c>
      <c r="H30" s="124">
        <f>H25+H26+H27+H28+H29</f>
        <v>-153.2383607917651</v>
      </c>
      <c r="I30" s="26"/>
      <c r="J30" s="120" t="s">
        <v>17</v>
      </c>
      <c r="K30" s="121" t="s">
        <v>54</v>
      </c>
      <c r="L30" s="124">
        <f>L25+L26+L27+L28+L29</f>
        <v>-153.2383607917651</v>
      </c>
      <c r="M30" s="109"/>
      <c r="N30" s="120" t="s">
        <v>17</v>
      </c>
      <c r="O30" s="121" t="s">
        <v>54</v>
      </c>
      <c r="P30" s="124">
        <f>P25+P26+P27+P28+P29</f>
        <v>-143.73624152207839</v>
      </c>
    </row>
    <row r="31" spans="1:16" ht="14.25" thickBot="1" x14ac:dyDescent="0.2">
      <c r="A31" s="1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</row>
    <row r="32" spans="1:16" x14ac:dyDescent="0.15">
      <c r="A32" s="1"/>
      <c r="B32" s="189" t="s">
        <v>18</v>
      </c>
      <c r="C32" s="190"/>
      <c r="D32" s="191"/>
      <c r="E32" s="109"/>
      <c r="F32" s="189" t="s">
        <v>18</v>
      </c>
      <c r="G32" s="190"/>
      <c r="H32" s="191"/>
      <c r="I32" s="110"/>
      <c r="J32" s="189" t="s">
        <v>18</v>
      </c>
      <c r="K32" s="190"/>
      <c r="L32" s="191"/>
      <c r="M32" s="109"/>
      <c r="N32" s="189" t="s">
        <v>115</v>
      </c>
      <c r="O32" s="190"/>
      <c r="P32" s="191"/>
    </row>
    <row r="33" spans="1:16" x14ac:dyDescent="0.15">
      <c r="A33" s="1"/>
      <c r="B33" s="126" t="s">
        <v>239</v>
      </c>
      <c r="C33" s="187" t="s">
        <v>205</v>
      </c>
      <c r="D33" s="188"/>
      <c r="E33" s="109"/>
      <c r="F33" s="126" t="s">
        <v>239</v>
      </c>
      <c r="G33" s="187" t="s">
        <v>205</v>
      </c>
      <c r="H33" s="188"/>
      <c r="I33" s="110"/>
      <c r="J33" s="126" t="s">
        <v>239</v>
      </c>
      <c r="K33" s="187" t="s">
        <v>205</v>
      </c>
      <c r="L33" s="188"/>
      <c r="M33" s="109"/>
      <c r="N33" s="126" t="s">
        <v>239</v>
      </c>
      <c r="O33" s="187" t="s">
        <v>206</v>
      </c>
      <c r="P33" s="188"/>
    </row>
    <row r="34" spans="1:16" ht="14.25" x14ac:dyDescent="0.15">
      <c r="A34" s="1"/>
      <c r="B34" s="27" t="s">
        <v>19</v>
      </c>
      <c r="C34" s="28" t="s">
        <v>56</v>
      </c>
      <c r="D34" s="29">
        <v>0</v>
      </c>
      <c r="E34" s="109"/>
      <c r="F34" s="27" t="s">
        <v>19</v>
      </c>
      <c r="G34" s="28" t="s">
        <v>56</v>
      </c>
      <c r="H34" s="29">
        <v>0</v>
      </c>
      <c r="I34" s="26"/>
      <c r="J34" s="27" t="s">
        <v>19</v>
      </c>
      <c r="K34" s="28" t="s">
        <v>56</v>
      </c>
      <c r="L34" s="29">
        <v>0</v>
      </c>
      <c r="M34" s="109"/>
      <c r="N34" s="27" t="s">
        <v>19</v>
      </c>
      <c r="O34" s="28" t="s">
        <v>56</v>
      </c>
      <c r="P34" s="29">
        <v>0</v>
      </c>
    </row>
    <row r="35" spans="1:16" ht="14.25" x14ac:dyDescent="0.15">
      <c r="A35" s="1"/>
      <c r="B35" s="27" t="s">
        <v>21</v>
      </c>
      <c r="C35" s="28" t="s">
        <v>57</v>
      </c>
      <c r="D35" s="29">
        <v>18.5</v>
      </c>
      <c r="E35" s="109"/>
      <c r="F35" s="27" t="s">
        <v>330</v>
      </c>
      <c r="G35" s="28" t="s">
        <v>57</v>
      </c>
      <c r="H35" s="29">
        <v>21.5</v>
      </c>
      <c r="I35" s="26"/>
      <c r="J35" s="27" t="s">
        <v>21</v>
      </c>
      <c r="K35" s="28" t="s">
        <v>57</v>
      </c>
      <c r="L35" s="29">
        <v>18.5</v>
      </c>
      <c r="M35" s="109"/>
      <c r="N35" s="27" t="s">
        <v>21</v>
      </c>
      <c r="O35" s="28" t="s">
        <v>57</v>
      </c>
      <c r="P35" s="29">
        <v>0</v>
      </c>
    </row>
    <row r="36" spans="1:16" ht="14.25" x14ac:dyDescent="0.15">
      <c r="A36" s="1"/>
      <c r="B36" s="27" t="s">
        <v>22</v>
      </c>
      <c r="C36" s="28" t="s">
        <v>58</v>
      </c>
      <c r="D36" s="29">
        <v>-2</v>
      </c>
      <c r="E36" s="109"/>
      <c r="F36" s="27" t="s">
        <v>22</v>
      </c>
      <c r="G36" s="28" t="s">
        <v>58</v>
      </c>
      <c r="H36" s="29">
        <v>-2</v>
      </c>
      <c r="I36" s="26"/>
      <c r="J36" s="27" t="s">
        <v>22</v>
      </c>
      <c r="K36" s="28" t="s">
        <v>58</v>
      </c>
      <c r="L36" s="29">
        <v>-2</v>
      </c>
      <c r="M36" s="109"/>
      <c r="N36" s="27" t="s">
        <v>22</v>
      </c>
      <c r="O36" s="28" t="s">
        <v>58</v>
      </c>
      <c r="P36" s="29">
        <v>-2</v>
      </c>
    </row>
    <row r="37" spans="1:16" x14ac:dyDescent="0.15">
      <c r="A37" s="1"/>
      <c r="B37" s="27" t="s">
        <v>86</v>
      </c>
      <c r="C37" s="28" t="s">
        <v>87</v>
      </c>
      <c r="D37" s="29">
        <f>10^(-D36/10)</f>
        <v>1.5848931924611136</v>
      </c>
      <c r="E37" s="109"/>
      <c r="F37" s="27" t="s">
        <v>86</v>
      </c>
      <c r="G37" s="28" t="s">
        <v>87</v>
      </c>
      <c r="H37" s="29">
        <f>10^(-H36/10)</f>
        <v>1.5848931924611136</v>
      </c>
      <c r="I37" s="26"/>
      <c r="J37" s="27" t="s">
        <v>86</v>
      </c>
      <c r="K37" s="28" t="s">
        <v>87</v>
      </c>
      <c r="L37" s="29">
        <f>10^(-L36/10)</f>
        <v>1.5848931924611136</v>
      </c>
      <c r="M37" s="109"/>
      <c r="N37" s="27" t="s">
        <v>86</v>
      </c>
      <c r="O37" s="28" t="s">
        <v>87</v>
      </c>
      <c r="P37" s="29">
        <f>10^(-P36/10)</f>
        <v>1.5848931924611136</v>
      </c>
    </row>
    <row r="38" spans="1:16" x14ac:dyDescent="0.15">
      <c r="A38" s="1"/>
      <c r="B38" s="27" t="s">
        <v>23</v>
      </c>
      <c r="C38" s="28" t="s">
        <v>59</v>
      </c>
      <c r="D38" s="29">
        <f>D21-D22+D30-D34+D35+D36</f>
        <v>-142.95684828792866</v>
      </c>
      <c r="E38" s="109"/>
      <c r="F38" s="27" t="s">
        <v>23</v>
      </c>
      <c r="G38" s="28" t="s">
        <v>59</v>
      </c>
      <c r="H38" s="29">
        <f>H21-H22+H30-H34+H35+H36</f>
        <v>-139.95684828792866</v>
      </c>
      <c r="I38" s="26"/>
      <c r="J38" s="27" t="s">
        <v>23</v>
      </c>
      <c r="K38" s="28" t="s">
        <v>59</v>
      </c>
      <c r="L38" s="29">
        <f>L21-L22+L30-L34+L35+L36</f>
        <v>-150.7383607917651</v>
      </c>
      <c r="M38" s="109"/>
      <c r="N38" s="27" t="s">
        <v>23</v>
      </c>
      <c r="O38" s="28" t="s">
        <v>59</v>
      </c>
      <c r="P38" s="29">
        <f>P21-P22+P30-P34+P35+P36</f>
        <v>-117.7465414787182</v>
      </c>
    </row>
    <row r="39" spans="1:16" ht="14.25" x14ac:dyDescent="0.15">
      <c r="A39" s="1"/>
      <c r="B39" s="27" t="s">
        <v>24</v>
      </c>
      <c r="C39" s="28" t="s">
        <v>60</v>
      </c>
      <c r="D39" s="29">
        <v>300</v>
      </c>
      <c r="E39" s="109"/>
      <c r="F39" s="27" t="s">
        <v>24</v>
      </c>
      <c r="G39" s="28" t="s">
        <v>60</v>
      </c>
      <c r="H39" s="29">
        <v>300</v>
      </c>
      <c r="I39" s="26"/>
      <c r="J39" s="27" t="s">
        <v>24</v>
      </c>
      <c r="K39" s="28" t="s">
        <v>60</v>
      </c>
      <c r="L39" s="29">
        <v>300</v>
      </c>
      <c r="M39" s="109"/>
      <c r="N39" s="27" t="s">
        <v>24</v>
      </c>
      <c r="O39" s="28" t="s">
        <v>60</v>
      </c>
      <c r="P39" s="29">
        <v>300</v>
      </c>
    </row>
    <row r="40" spans="1:16" ht="14.25" x14ac:dyDescent="0.15">
      <c r="A40" s="1"/>
      <c r="B40" s="27" t="s">
        <v>25</v>
      </c>
      <c r="C40" s="28" t="s">
        <v>62</v>
      </c>
      <c r="D40" s="29">
        <f>D42</f>
        <v>300</v>
      </c>
      <c r="E40" s="109"/>
      <c r="F40" s="27" t="s">
        <v>25</v>
      </c>
      <c r="G40" s="28" t="s">
        <v>62</v>
      </c>
      <c r="H40" s="29">
        <f>H42</f>
        <v>300</v>
      </c>
      <c r="I40" s="26"/>
      <c r="J40" s="27" t="s">
        <v>25</v>
      </c>
      <c r="K40" s="28" t="s">
        <v>62</v>
      </c>
      <c r="L40" s="29">
        <f>L42</f>
        <v>300</v>
      </c>
      <c r="M40" s="109"/>
      <c r="N40" s="27" t="s">
        <v>25</v>
      </c>
      <c r="O40" s="28" t="s">
        <v>62</v>
      </c>
      <c r="P40" s="29">
        <f>P42</f>
        <v>300</v>
      </c>
    </row>
    <row r="41" spans="1:16" ht="14.25" x14ac:dyDescent="0.15">
      <c r="A41" s="1"/>
      <c r="B41" s="27" t="s">
        <v>26</v>
      </c>
      <c r="C41" s="28" t="s">
        <v>63</v>
      </c>
      <c r="D41" s="29">
        <v>300</v>
      </c>
      <c r="E41" s="109"/>
      <c r="F41" s="27" t="s">
        <v>26</v>
      </c>
      <c r="G41" s="28" t="s">
        <v>63</v>
      </c>
      <c r="H41" s="29">
        <v>300</v>
      </c>
      <c r="I41" s="26"/>
      <c r="J41" s="27" t="s">
        <v>26</v>
      </c>
      <c r="K41" s="28" t="s">
        <v>63</v>
      </c>
      <c r="L41" s="29">
        <v>300</v>
      </c>
      <c r="M41" s="109"/>
      <c r="N41" s="27" t="s">
        <v>26</v>
      </c>
      <c r="O41" s="28" t="s">
        <v>63</v>
      </c>
      <c r="P41" s="29">
        <v>300</v>
      </c>
    </row>
    <row r="42" spans="1:16" ht="14.25" x14ac:dyDescent="0.15">
      <c r="A42" s="1"/>
      <c r="B42" s="27" t="s">
        <v>61</v>
      </c>
      <c r="C42" s="28" t="s">
        <v>64</v>
      </c>
      <c r="D42" s="29">
        <v>300</v>
      </c>
      <c r="E42" s="109"/>
      <c r="F42" s="27" t="s">
        <v>61</v>
      </c>
      <c r="G42" s="28" t="s">
        <v>64</v>
      </c>
      <c r="H42" s="29">
        <v>300</v>
      </c>
      <c r="I42" s="26"/>
      <c r="J42" s="27" t="s">
        <v>61</v>
      </c>
      <c r="K42" s="28" t="s">
        <v>64</v>
      </c>
      <c r="L42" s="29">
        <v>300</v>
      </c>
      <c r="M42" s="109"/>
      <c r="N42" s="27" t="s">
        <v>61</v>
      </c>
      <c r="O42" s="28" t="s">
        <v>64</v>
      </c>
      <c r="P42" s="29">
        <v>300</v>
      </c>
    </row>
    <row r="43" spans="1:16" x14ac:dyDescent="0.15">
      <c r="A43" s="1"/>
      <c r="B43" s="27" t="s">
        <v>27</v>
      </c>
      <c r="C43" s="28" t="s">
        <v>66</v>
      </c>
      <c r="D43" s="29">
        <f>D41/D42+1</f>
        <v>2</v>
      </c>
      <c r="E43" s="109"/>
      <c r="F43" s="27" t="s">
        <v>27</v>
      </c>
      <c r="G43" s="28" t="s">
        <v>66</v>
      </c>
      <c r="H43" s="29">
        <f>H41/H42+1</f>
        <v>2</v>
      </c>
      <c r="I43" s="26"/>
      <c r="J43" s="27" t="s">
        <v>27</v>
      </c>
      <c r="K43" s="28" t="s">
        <v>66</v>
      </c>
      <c r="L43" s="29">
        <f>L41/L42+1</f>
        <v>2</v>
      </c>
      <c r="M43" s="109"/>
      <c r="N43" s="27" t="s">
        <v>27</v>
      </c>
      <c r="O43" s="28" t="s">
        <v>66</v>
      </c>
      <c r="P43" s="29">
        <v>5</v>
      </c>
    </row>
    <row r="44" spans="1:16" x14ac:dyDescent="0.15">
      <c r="A44" s="1"/>
      <c r="B44" s="27"/>
      <c r="C44" s="28" t="s">
        <v>65</v>
      </c>
      <c r="D44" s="29">
        <f>10*LOG(D43)</f>
        <v>3.0102999566398121</v>
      </c>
      <c r="E44" s="109"/>
      <c r="F44" s="27"/>
      <c r="G44" s="28" t="s">
        <v>65</v>
      </c>
      <c r="H44" s="29">
        <f>10*LOG(H43)</f>
        <v>3.0102999566398121</v>
      </c>
      <c r="I44" s="26"/>
      <c r="J44" s="27"/>
      <c r="K44" s="28" t="s">
        <v>65</v>
      </c>
      <c r="L44" s="29">
        <f>10*LOG(L43)</f>
        <v>3.0102999566398121</v>
      </c>
      <c r="M44" s="109"/>
      <c r="N44" s="27"/>
      <c r="O44" s="28" t="s">
        <v>65</v>
      </c>
      <c r="P44" s="29">
        <f>10*LOG(P43)</f>
        <v>6.9897000433601884</v>
      </c>
    </row>
    <row r="45" spans="1:16" ht="14.25" x14ac:dyDescent="0.15">
      <c r="A45" s="1"/>
      <c r="B45" s="27" t="s">
        <v>28</v>
      </c>
      <c r="C45" s="28" t="s">
        <v>67</v>
      </c>
      <c r="D45" s="29">
        <f>10*LOG(D39/D37+(1-(1/D37))*D40+(D43-1)*D42)</f>
        <v>27.781512503836435</v>
      </c>
      <c r="E45" s="109"/>
      <c r="F45" s="27" t="s">
        <v>28</v>
      </c>
      <c r="G45" s="28" t="s">
        <v>67</v>
      </c>
      <c r="H45" s="29">
        <f>10*LOG(H39/H37+(1-(1/H37))*H40+(H43-1)*H42)</f>
        <v>27.781512503836435</v>
      </c>
      <c r="I45" s="26"/>
      <c r="J45" s="27" t="s">
        <v>28</v>
      </c>
      <c r="K45" s="28" t="s">
        <v>67</v>
      </c>
      <c r="L45" s="29">
        <f>10*LOG(L39/L37+(1-(1/L37))*L40+(L43-1)*L42)</f>
        <v>27.781512503836435</v>
      </c>
      <c r="M45" s="109"/>
      <c r="N45" s="27" t="s">
        <v>28</v>
      </c>
      <c r="O45" s="28" t="s">
        <v>67</v>
      </c>
      <c r="P45" s="29">
        <f>10*LOG(P39/P37+(1-(1/P37))*P40+(P43-1)*P42)</f>
        <v>31.760912590556813</v>
      </c>
    </row>
    <row r="46" spans="1:16" ht="14.25" x14ac:dyDescent="0.15">
      <c r="A46" s="1"/>
      <c r="B46" s="27" t="s">
        <v>88</v>
      </c>
      <c r="C46" s="28" t="s">
        <v>90</v>
      </c>
      <c r="D46" s="29">
        <v>300</v>
      </c>
      <c r="E46" s="109"/>
      <c r="F46" s="27" t="s">
        <v>88</v>
      </c>
      <c r="G46" s="28" t="s">
        <v>90</v>
      </c>
      <c r="H46" s="29">
        <v>300</v>
      </c>
      <c r="I46" s="26"/>
      <c r="J46" s="27" t="s">
        <v>88</v>
      </c>
      <c r="K46" s="28" t="s">
        <v>90</v>
      </c>
      <c r="L46" s="29">
        <v>300</v>
      </c>
      <c r="M46" s="109"/>
      <c r="N46" s="27" t="s">
        <v>88</v>
      </c>
      <c r="O46" s="28" t="s">
        <v>90</v>
      </c>
      <c r="P46" s="29">
        <v>300</v>
      </c>
    </row>
    <row r="47" spans="1:16" ht="14.25" x14ac:dyDescent="0.15">
      <c r="A47" s="1"/>
      <c r="B47" s="27" t="s">
        <v>89</v>
      </c>
      <c r="C47" s="28" t="s">
        <v>91</v>
      </c>
      <c r="D47" s="29">
        <f>1.12*D46-50</f>
        <v>286.00000000000006</v>
      </c>
      <c r="E47" s="109"/>
      <c r="F47" s="27" t="s">
        <v>89</v>
      </c>
      <c r="G47" s="28" t="s">
        <v>91</v>
      </c>
      <c r="H47" s="29">
        <f>1.12*H46-50</f>
        <v>286.00000000000006</v>
      </c>
      <c r="I47" s="26"/>
      <c r="J47" s="27" t="s">
        <v>89</v>
      </c>
      <c r="K47" s="28" t="s">
        <v>91</v>
      </c>
      <c r="L47" s="29">
        <f>1.12*L46-50</f>
        <v>286.00000000000006</v>
      </c>
      <c r="M47" s="109"/>
      <c r="N47" s="27" t="s">
        <v>89</v>
      </c>
      <c r="O47" s="28" t="s">
        <v>91</v>
      </c>
      <c r="P47" s="29">
        <f>1.12*P46-50</f>
        <v>286.00000000000006</v>
      </c>
    </row>
    <row r="48" spans="1:16" ht="14.25" x14ac:dyDescent="0.15">
      <c r="A48" s="1"/>
      <c r="B48" s="27" t="s">
        <v>29</v>
      </c>
      <c r="C48" s="28" t="s">
        <v>68</v>
      </c>
      <c r="D48" s="29">
        <f>D47*(1-10^(-D27/10))</f>
        <v>0</v>
      </c>
      <c r="E48" s="109"/>
      <c r="F48" s="27" t="s">
        <v>29</v>
      </c>
      <c r="G48" s="28" t="s">
        <v>68</v>
      </c>
      <c r="H48" s="29">
        <f>H47*(1-10^(-H27/10))</f>
        <v>0</v>
      </c>
      <c r="I48" s="26"/>
      <c r="J48" s="27" t="s">
        <v>29</v>
      </c>
      <c r="K48" s="28" t="s">
        <v>68</v>
      </c>
      <c r="L48" s="29">
        <f>L47*(1-10^(-L27/10))</f>
        <v>0</v>
      </c>
      <c r="M48" s="109"/>
      <c r="N48" s="27" t="s">
        <v>29</v>
      </c>
      <c r="O48" s="28" t="s">
        <v>68</v>
      </c>
      <c r="P48" s="29">
        <f>P47*(1-10^(-P27/10))</f>
        <v>0</v>
      </c>
    </row>
    <row r="49" spans="1:16" x14ac:dyDescent="0.15">
      <c r="A49" s="1"/>
      <c r="B49" s="27" t="s">
        <v>69</v>
      </c>
      <c r="C49" s="28" t="s">
        <v>94</v>
      </c>
      <c r="D49" s="29">
        <v>5</v>
      </c>
      <c r="E49" s="109"/>
      <c r="F49" s="27" t="s">
        <v>69</v>
      </c>
      <c r="G49" s="28" t="s">
        <v>94</v>
      </c>
      <c r="H49" s="29">
        <v>5</v>
      </c>
      <c r="I49" s="26"/>
      <c r="J49" s="27" t="s">
        <v>69</v>
      </c>
      <c r="K49" s="28" t="s">
        <v>94</v>
      </c>
      <c r="L49" s="29">
        <v>5</v>
      </c>
      <c r="M49" s="109"/>
      <c r="N49" s="27" t="s">
        <v>69</v>
      </c>
      <c r="O49" s="28" t="s">
        <v>94</v>
      </c>
      <c r="P49" s="29">
        <v>5</v>
      </c>
    </row>
    <row r="50" spans="1:16" x14ac:dyDescent="0.15">
      <c r="A50" s="1"/>
      <c r="B50" s="27" t="s">
        <v>30</v>
      </c>
      <c r="C50" s="28" t="s">
        <v>96</v>
      </c>
      <c r="D50" s="127">
        <f>D13*D45*D49</f>
        <v>1.9169243627647141E-21</v>
      </c>
      <c r="E50" s="109"/>
      <c r="F50" s="27" t="s">
        <v>30</v>
      </c>
      <c r="G50" s="28" t="s">
        <v>96</v>
      </c>
      <c r="H50" s="125">
        <f>H13*H45*H49</f>
        <v>1.9169243627647141E-21</v>
      </c>
      <c r="I50" s="114"/>
      <c r="J50" s="27" t="s">
        <v>30</v>
      </c>
      <c r="K50" s="28" t="s">
        <v>96</v>
      </c>
      <c r="L50" s="125">
        <f>L13*L45*L49</f>
        <v>1.9169243627647141E-21</v>
      </c>
      <c r="M50" s="109"/>
      <c r="N50" s="27" t="s">
        <v>30</v>
      </c>
      <c r="O50" s="28" t="s">
        <v>96</v>
      </c>
      <c r="P50" s="125">
        <f>P13*P45*P49</f>
        <v>2.19150296874842E-21</v>
      </c>
    </row>
    <row r="51" spans="1:16" x14ac:dyDescent="0.15">
      <c r="A51" s="1"/>
      <c r="B51" s="27"/>
      <c r="C51" s="28" t="s">
        <v>95</v>
      </c>
      <c r="D51" s="125">
        <f>10*LOG(D50)</f>
        <v>-207.17395023001941</v>
      </c>
      <c r="E51" s="109"/>
      <c r="F51" s="27"/>
      <c r="G51" s="28" t="s">
        <v>95</v>
      </c>
      <c r="H51" s="125">
        <f>10*LOG(H50)</f>
        <v>-207.17395023001941</v>
      </c>
      <c r="I51" s="114"/>
      <c r="J51" s="27"/>
      <c r="K51" s="28" t="s">
        <v>95</v>
      </c>
      <c r="L51" s="125">
        <f>10*LOG(L50)</f>
        <v>-207.17395023001941</v>
      </c>
      <c r="M51" s="109"/>
      <c r="N51" s="27"/>
      <c r="O51" s="28" t="s">
        <v>95</v>
      </c>
      <c r="P51" s="125">
        <f>10*LOG(P50)</f>
        <v>-206.5925793668687</v>
      </c>
    </row>
    <row r="52" spans="1:16" ht="14.25" x14ac:dyDescent="0.15">
      <c r="A52" s="1"/>
      <c r="B52" s="27" t="s">
        <v>31</v>
      </c>
      <c r="C52" s="28" t="s">
        <v>70</v>
      </c>
      <c r="D52" s="125">
        <f>10*LOG(D13)+D45</f>
        <v>-200.81969663215119</v>
      </c>
      <c r="E52" s="109"/>
      <c r="F52" s="27" t="s">
        <v>31</v>
      </c>
      <c r="G52" s="28" t="s">
        <v>70</v>
      </c>
      <c r="H52" s="125">
        <f>10*LOG(H13)+H45</f>
        <v>-200.81969663215119</v>
      </c>
      <c r="I52" s="114"/>
      <c r="J52" s="27" t="s">
        <v>31</v>
      </c>
      <c r="K52" s="28" t="s">
        <v>70</v>
      </c>
      <c r="L52" s="125">
        <f>10*LOG(L13)+L45</f>
        <v>-200.81969663215119</v>
      </c>
      <c r="M52" s="109"/>
      <c r="N52" s="27" t="s">
        <v>31</v>
      </c>
      <c r="O52" s="28" t="s">
        <v>70</v>
      </c>
      <c r="P52" s="125">
        <f>10*LOG(P13)+P45</f>
        <v>-196.84029654543082</v>
      </c>
    </row>
    <row r="53" spans="1:16" x14ac:dyDescent="0.15">
      <c r="A53" s="1"/>
      <c r="B53" s="128" t="s">
        <v>125</v>
      </c>
      <c r="C53" s="129" t="s">
        <v>126</v>
      </c>
      <c r="D53" s="130">
        <f>D35+D36</f>
        <v>16.5</v>
      </c>
      <c r="E53" s="109"/>
      <c r="F53" s="128" t="s">
        <v>125</v>
      </c>
      <c r="G53" s="129" t="s">
        <v>126</v>
      </c>
      <c r="H53" s="130">
        <f>H35+H36</f>
        <v>19.5</v>
      </c>
      <c r="I53" s="114"/>
      <c r="J53" s="128" t="s">
        <v>125</v>
      </c>
      <c r="K53" s="129" t="s">
        <v>126</v>
      </c>
      <c r="L53" s="130">
        <f>L35+L36</f>
        <v>16.5</v>
      </c>
      <c r="M53" s="109"/>
      <c r="N53" s="128" t="s">
        <v>125</v>
      </c>
      <c r="O53" s="129" t="s">
        <v>126</v>
      </c>
      <c r="P53" s="130">
        <f>P35+P36</f>
        <v>-2</v>
      </c>
    </row>
    <row r="54" spans="1:16" ht="14.25" thickBot="1" x14ac:dyDescent="0.2">
      <c r="A54" s="1"/>
      <c r="B54" s="120" t="s">
        <v>32</v>
      </c>
      <c r="C54" s="121" t="s">
        <v>97</v>
      </c>
      <c r="D54" s="124">
        <f>D35+D36-D45</f>
        <v>-11.281512503836435</v>
      </c>
      <c r="E54" s="109"/>
      <c r="F54" s="120" t="s">
        <v>32</v>
      </c>
      <c r="G54" s="121" t="s">
        <v>97</v>
      </c>
      <c r="H54" s="124">
        <f>H35+H36-H45</f>
        <v>-8.281512503836435</v>
      </c>
      <c r="I54" s="26"/>
      <c r="J54" s="120" t="s">
        <v>32</v>
      </c>
      <c r="K54" s="121" t="s">
        <v>97</v>
      </c>
      <c r="L54" s="124">
        <f>L35+L36-L45</f>
        <v>-11.281512503836435</v>
      </c>
      <c r="M54" s="109"/>
      <c r="N54" s="120" t="s">
        <v>32</v>
      </c>
      <c r="O54" s="121" t="s">
        <v>97</v>
      </c>
      <c r="P54" s="124">
        <f>P35+P36-P45</f>
        <v>-33.760912590556813</v>
      </c>
    </row>
    <row r="55" spans="1:16" ht="14.25" thickBot="1" x14ac:dyDescent="0.2">
      <c r="A55" s="1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</row>
    <row r="56" spans="1:16" ht="14.25" x14ac:dyDescent="0.15">
      <c r="A56" s="1"/>
      <c r="B56" s="116" t="s">
        <v>33</v>
      </c>
      <c r="C56" s="131" t="s">
        <v>71</v>
      </c>
      <c r="D56" s="132">
        <v>-6</v>
      </c>
      <c r="E56" s="109"/>
      <c r="F56" s="116" t="s">
        <v>33</v>
      </c>
      <c r="G56" s="131" t="s">
        <v>71</v>
      </c>
      <c r="H56" s="132">
        <v>-6</v>
      </c>
      <c r="I56" s="26"/>
      <c r="J56" s="116" t="s">
        <v>33</v>
      </c>
      <c r="K56" s="131" t="s">
        <v>71</v>
      </c>
      <c r="L56" s="132">
        <v>0</v>
      </c>
      <c r="M56" s="109"/>
      <c r="N56" s="116" t="s">
        <v>33</v>
      </c>
      <c r="O56" s="131" t="s">
        <v>71</v>
      </c>
      <c r="P56" s="132">
        <v>-6</v>
      </c>
    </row>
    <row r="57" spans="1:16" ht="14.25" x14ac:dyDescent="0.15">
      <c r="A57" s="1"/>
      <c r="B57" s="27" t="s">
        <v>111</v>
      </c>
      <c r="C57" s="28" t="s">
        <v>112</v>
      </c>
      <c r="D57" s="29">
        <v>-1</v>
      </c>
      <c r="E57" s="109"/>
      <c r="F57" s="27" t="s">
        <v>111</v>
      </c>
      <c r="G57" s="28" t="s">
        <v>112</v>
      </c>
      <c r="H57" s="29">
        <v>-1</v>
      </c>
      <c r="I57" s="26"/>
      <c r="J57" s="27" t="s">
        <v>111</v>
      </c>
      <c r="K57" s="28" t="s">
        <v>112</v>
      </c>
      <c r="L57" s="29">
        <v>-1</v>
      </c>
      <c r="M57" s="109"/>
      <c r="N57" s="27" t="s">
        <v>111</v>
      </c>
      <c r="O57" s="28" t="s">
        <v>112</v>
      </c>
      <c r="P57" s="29">
        <v>-1</v>
      </c>
    </row>
    <row r="58" spans="1:16" ht="14.25" x14ac:dyDescent="0.15">
      <c r="A58" s="1"/>
      <c r="B58" s="27" t="s">
        <v>113</v>
      </c>
      <c r="C58" s="28" t="s">
        <v>114</v>
      </c>
      <c r="D58" s="29">
        <f>D56+D57</f>
        <v>-7</v>
      </c>
      <c r="E58" s="109"/>
      <c r="F58" s="27" t="s">
        <v>113</v>
      </c>
      <c r="G58" s="28" t="s">
        <v>114</v>
      </c>
      <c r="H58" s="29">
        <f>H56+H57</f>
        <v>-7</v>
      </c>
      <c r="I58" s="26"/>
      <c r="J58" s="27" t="s">
        <v>113</v>
      </c>
      <c r="K58" s="28" t="s">
        <v>114</v>
      </c>
      <c r="L58" s="29">
        <f>L56+L57</f>
        <v>-1</v>
      </c>
      <c r="M58" s="109"/>
      <c r="N58" s="27" t="s">
        <v>113</v>
      </c>
      <c r="O58" s="28" t="s">
        <v>114</v>
      </c>
      <c r="P58" s="29">
        <f>P56+P57</f>
        <v>-7</v>
      </c>
    </row>
    <row r="59" spans="1:16" ht="14.25" x14ac:dyDescent="0.15">
      <c r="A59" s="1"/>
      <c r="B59" s="27" t="s">
        <v>34</v>
      </c>
      <c r="C59" s="28" t="s">
        <v>72</v>
      </c>
      <c r="D59" s="29">
        <v>1200</v>
      </c>
      <c r="E59" s="109"/>
      <c r="F59" s="27" t="s">
        <v>34</v>
      </c>
      <c r="G59" s="28" t="s">
        <v>72</v>
      </c>
      <c r="H59" s="29">
        <v>9600</v>
      </c>
      <c r="I59" s="26"/>
      <c r="J59" s="27" t="s">
        <v>34</v>
      </c>
      <c r="K59" s="28" t="s">
        <v>72</v>
      </c>
      <c r="L59" s="29">
        <v>1200</v>
      </c>
      <c r="M59" s="109"/>
      <c r="N59" s="27" t="s">
        <v>34</v>
      </c>
      <c r="O59" s="28" t="s">
        <v>72</v>
      </c>
      <c r="P59" s="29">
        <v>1200</v>
      </c>
    </row>
    <row r="60" spans="1:16" ht="14.25" x14ac:dyDescent="0.15">
      <c r="A60" s="1"/>
      <c r="B60" s="27"/>
      <c r="C60" s="28" t="s">
        <v>73</v>
      </c>
      <c r="D60" s="29">
        <f>10*LOG(D59)</f>
        <v>30.791812460476248</v>
      </c>
      <c r="E60" s="109"/>
      <c r="F60" s="27"/>
      <c r="G60" s="28" t="s">
        <v>73</v>
      </c>
      <c r="H60" s="29">
        <f>10*LOG(H59)</f>
        <v>39.822712330395682</v>
      </c>
      <c r="I60" s="26"/>
      <c r="J60" s="27"/>
      <c r="K60" s="28" t="s">
        <v>73</v>
      </c>
      <c r="L60" s="29">
        <f>10*LOG(L59)</f>
        <v>30.791812460476248</v>
      </c>
      <c r="M60" s="109"/>
      <c r="N60" s="27"/>
      <c r="O60" s="28" t="s">
        <v>73</v>
      </c>
      <c r="P60" s="29">
        <f>10*LOG(P59)</f>
        <v>30.791812460476248</v>
      </c>
    </row>
    <row r="61" spans="1:16" ht="14.25" x14ac:dyDescent="0.15">
      <c r="A61" s="1"/>
      <c r="B61" s="27" t="s">
        <v>99</v>
      </c>
      <c r="C61" s="28" t="s">
        <v>100</v>
      </c>
      <c r="D61" s="29">
        <f>10^-6</f>
        <v>9.9999999999999995E-7</v>
      </c>
      <c r="E61" s="109"/>
      <c r="F61" s="27" t="s">
        <v>99</v>
      </c>
      <c r="G61" s="28" t="s">
        <v>100</v>
      </c>
      <c r="H61" s="29">
        <f>10^-6</f>
        <v>9.9999999999999995E-7</v>
      </c>
      <c r="I61" s="26"/>
      <c r="J61" s="27" t="s">
        <v>99</v>
      </c>
      <c r="K61" s="28" t="s">
        <v>100</v>
      </c>
      <c r="L61" s="29">
        <f>10^-6</f>
        <v>9.9999999999999995E-7</v>
      </c>
      <c r="M61" s="109"/>
      <c r="N61" s="27" t="s">
        <v>99</v>
      </c>
      <c r="O61" s="28" t="s">
        <v>100</v>
      </c>
      <c r="P61" s="29">
        <f>10^-6</f>
        <v>9.9999999999999995E-7</v>
      </c>
    </row>
    <row r="62" spans="1:16" ht="14.25" x14ac:dyDescent="0.15">
      <c r="A62" s="1"/>
      <c r="B62" s="27" t="s">
        <v>35</v>
      </c>
      <c r="C62" s="28" t="s">
        <v>74</v>
      </c>
      <c r="D62" s="29">
        <f>D38-D52</f>
        <v>57.862848344222527</v>
      </c>
      <c r="E62" s="109"/>
      <c r="F62" s="27" t="s">
        <v>35</v>
      </c>
      <c r="G62" s="28" t="s">
        <v>74</v>
      </c>
      <c r="H62" s="29">
        <f>H38-H52</f>
        <v>60.862848344222527</v>
      </c>
      <c r="I62" s="26"/>
      <c r="J62" s="27" t="s">
        <v>35</v>
      </c>
      <c r="K62" s="28" t="s">
        <v>74</v>
      </c>
      <c r="L62" s="29">
        <f>L38-L52</f>
        <v>50.081335840386089</v>
      </c>
      <c r="M62" s="109"/>
      <c r="N62" s="27" t="s">
        <v>35</v>
      </c>
      <c r="O62" s="28" t="s">
        <v>74</v>
      </c>
      <c r="P62" s="29">
        <f>P38-P52</f>
        <v>79.093755066712617</v>
      </c>
    </row>
    <row r="63" spans="1:16" ht="14.25" x14ac:dyDescent="0.15">
      <c r="A63" s="1"/>
      <c r="B63" s="27" t="s">
        <v>37</v>
      </c>
      <c r="C63" s="28" t="s">
        <v>101</v>
      </c>
      <c r="D63" s="29">
        <v>10.5</v>
      </c>
      <c r="E63" s="109"/>
      <c r="F63" s="27" t="s">
        <v>37</v>
      </c>
      <c r="G63" s="28" t="s">
        <v>101</v>
      </c>
      <c r="H63" s="29">
        <v>10.5</v>
      </c>
      <c r="I63" s="26"/>
      <c r="J63" s="27" t="s">
        <v>37</v>
      </c>
      <c r="K63" s="28" t="s">
        <v>101</v>
      </c>
      <c r="L63" s="29">
        <v>10.5</v>
      </c>
      <c r="M63" s="109"/>
      <c r="N63" s="27" t="s">
        <v>37</v>
      </c>
      <c r="O63" s="28" t="s">
        <v>101</v>
      </c>
      <c r="P63" s="29">
        <v>10.5</v>
      </c>
    </row>
    <row r="64" spans="1:16" ht="14.25" x14ac:dyDescent="0.15">
      <c r="A64" s="1"/>
      <c r="B64" s="27" t="s">
        <v>36</v>
      </c>
      <c r="C64" s="28" t="s">
        <v>75</v>
      </c>
      <c r="D64" s="29">
        <f>D63-D57-D56+D60</f>
        <v>48.291812460476251</v>
      </c>
      <c r="E64" s="109"/>
      <c r="F64" s="27" t="s">
        <v>36</v>
      </c>
      <c r="G64" s="28" t="s">
        <v>75</v>
      </c>
      <c r="H64" s="29">
        <f>H63-H57-H56+H60</f>
        <v>57.322712330395682</v>
      </c>
      <c r="I64" s="26"/>
      <c r="J64" s="27" t="s">
        <v>36</v>
      </c>
      <c r="K64" s="28" t="s">
        <v>75</v>
      </c>
      <c r="L64" s="29">
        <f>L63-L57-L56+L60</f>
        <v>42.291812460476251</v>
      </c>
      <c r="M64" s="109"/>
      <c r="N64" s="27" t="s">
        <v>36</v>
      </c>
      <c r="O64" s="28" t="s">
        <v>75</v>
      </c>
      <c r="P64" s="29">
        <f>P63-P57-P56+P60</f>
        <v>48.291812460476251</v>
      </c>
    </row>
    <row r="65" spans="1:16" ht="14.25" thickBot="1" x14ac:dyDescent="0.2">
      <c r="A65" s="1"/>
      <c r="B65" s="120" t="s">
        <v>102</v>
      </c>
      <c r="C65" s="121" t="s">
        <v>232</v>
      </c>
      <c r="D65" s="124">
        <f>D62-D64</f>
        <v>9.5710358837462763</v>
      </c>
      <c r="E65" s="109"/>
      <c r="F65" s="120" t="s">
        <v>102</v>
      </c>
      <c r="G65" s="121" t="s">
        <v>232</v>
      </c>
      <c r="H65" s="124">
        <f>H62-H64</f>
        <v>3.5401360138268458</v>
      </c>
      <c r="I65" s="26"/>
      <c r="J65" s="120" t="s">
        <v>102</v>
      </c>
      <c r="K65" s="121" t="s">
        <v>232</v>
      </c>
      <c r="L65" s="124">
        <f>L62-L64</f>
        <v>7.7895233799098378</v>
      </c>
      <c r="M65" s="109"/>
      <c r="N65" s="120" t="s">
        <v>102</v>
      </c>
      <c r="O65" s="121" t="s">
        <v>232</v>
      </c>
      <c r="P65" s="124">
        <f>P62-P64</f>
        <v>30.801942606236366</v>
      </c>
    </row>
    <row r="66" spans="1:16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15">
      <c r="A67" s="1"/>
      <c r="B67" s="1"/>
      <c r="C67" s="1"/>
      <c r="D67" s="1"/>
      <c r="E67" s="1"/>
      <c r="F67" s="1" t="s">
        <v>329</v>
      </c>
      <c r="G67" s="1"/>
      <c r="H67" s="1"/>
      <c r="I67" s="1"/>
      <c r="J67" s="1"/>
      <c r="K67" s="1"/>
      <c r="L67" s="1"/>
      <c r="M67" s="1"/>
      <c r="N67" s="1"/>
      <c r="O67" s="1"/>
      <c r="P67" s="1"/>
    </row>
  </sheetData>
  <mergeCells count="28">
    <mergeCell ref="C33:D33"/>
    <mergeCell ref="G33:H33"/>
    <mergeCell ref="K33:L33"/>
    <mergeCell ref="O33:P33"/>
    <mergeCell ref="B24:D24"/>
    <mergeCell ref="F24:H24"/>
    <mergeCell ref="J24:L24"/>
    <mergeCell ref="N24:P24"/>
    <mergeCell ref="B32:D32"/>
    <mergeCell ref="F32:H32"/>
    <mergeCell ref="J32:L32"/>
    <mergeCell ref="N32:P32"/>
    <mergeCell ref="C4:D4"/>
    <mergeCell ref="G4:H4"/>
    <mergeCell ref="K4:L4"/>
    <mergeCell ref="O4:P4"/>
    <mergeCell ref="B15:D15"/>
    <mergeCell ref="F15:H15"/>
    <mergeCell ref="J15:L15"/>
    <mergeCell ref="N15:P15"/>
    <mergeCell ref="B2:D2"/>
    <mergeCell ref="F2:H2"/>
    <mergeCell ref="J2:L2"/>
    <mergeCell ref="N2:P2"/>
    <mergeCell ref="C3:D3"/>
    <mergeCell ref="G3:H3"/>
    <mergeCell ref="K3:L3"/>
    <mergeCell ref="O3:P3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6"/>
  <sheetViews>
    <sheetView zoomScale="75" workbookViewId="0">
      <selection activeCell="I17" sqref="I17"/>
    </sheetView>
  </sheetViews>
  <sheetFormatPr defaultRowHeight="13.5" x14ac:dyDescent="0.15"/>
  <cols>
    <col min="1" max="1" width="2.625" customWidth="1"/>
    <col min="2" max="2" width="26.125" customWidth="1"/>
    <col min="3" max="3" width="10.625" customWidth="1"/>
    <col min="4" max="4" width="10.75" customWidth="1"/>
    <col min="5" max="5" width="2.625" customWidth="1"/>
    <col min="6" max="6" width="26.25" customWidth="1"/>
    <col min="7" max="8" width="10.625" customWidth="1"/>
  </cols>
  <sheetData>
    <row r="1" spans="2:12" x14ac:dyDescent="0.15">
      <c r="B1" s="1" t="s">
        <v>104</v>
      </c>
      <c r="C1" s="1"/>
      <c r="D1" s="1"/>
      <c r="E1" s="1"/>
      <c r="F1" s="1" t="s">
        <v>106</v>
      </c>
      <c r="G1" s="1"/>
      <c r="H1" s="1"/>
    </row>
    <row r="2" spans="2:12" ht="14.25" thickBot="1" x14ac:dyDescent="0.2">
      <c r="B2" s="3"/>
      <c r="C2" s="3"/>
      <c r="D2" s="3"/>
      <c r="E2" s="1"/>
      <c r="F2" s="3"/>
      <c r="G2" s="3"/>
      <c r="H2" s="3"/>
      <c r="J2" s="194" t="s">
        <v>202</v>
      </c>
      <c r="K2" s="195"/>
      <c r="L2" s="195"/>
    </row>
    <row r="3" spans="2:12" x14ac:dyDescent="0.15">
      <c r="B3" s="6" t="s">
        <v>0</v>
      </c>
      <c r="C3" s="185" t="s">
        <v>118</v>
      </c>
      <c r="D3" s="186"/>
      <c r="E3" s="1"/>
      <c r="F3" s="6" t="s">
        <v>0</v>
      </c>
      <c r="G3" s="185" t="s">
        <v>118</v>
      </c>
      <c r="H3" s="186"/>
      <c r="J3" s="195"/>
      <c r="K3" s="195"/>
      <c r="L3" s="195"/>
    </row>
    <row r="4" spans="2:12" x14ac:dyDescent="0.15">
      <c r="B4" s="55" t="s">
        <v>128</v>
      </c>
      <c r="C4" s="180" t="s">
        <v>207</v>
      </c>
      <c r="D4" s="181"/>
      <c r="E4" s="1"/>
      <c r="F4" s="55" t="s">
        <v>204</v>
      </c>
      <c r="G4" s="180" t="s">
        <v>205</v>
      </c>
      <c r="H4" s="181"/>
      <c r="J4" s="195"/>
      <c r="K4" s="195"/>
      <c r="L4" s="195"/>
    </row>
    <row r="5" spans="2:12" x14ac:dyDescent="0.15">
      <c r="B5" s="9" t="s">
        <v>1</v>
      </c>
      <c r="C5" s="4" t="s">
        <v>38</v>
      </c>
      <c r="D5" s="10">
        <v>800</v>
      </c>
      <c r="E5" s="1"/>
      <c r="F5" s="9" t="s">
        <v>1</v>
      </c>
      <c r="G5" s="4" t="s">
        <v>38</v>
      </c>
      <c r="H5" s="10">
        <v>800</v>
      </c>
      <c r="J5" s="195"/>
      <c r="K5" s="195"/>
      <c r="L5" s="195"/>
    </row>
    <row r="6" spans="2:12" x14ac:dyDescent="0.15">
      <c r="B6" s="9" t="s">
        <v>76</v>
      </c>
      <c r="C6" s="4" t="s">
        <v>77</v>
      </c>
      <c r="D6" s="10">
        <v>6378.1419999999998</v>
      </c>
      <c r="E6" s="1"/>
      <c r="F6" s="9" t="s">
        <v>76</v>
      </c>
      <c r="G6" s="4" t="s">
        <v>77</v>
      </c>
      <c r="H6" s="10">
        <v>6378.1419999999998</v>
      </c>
      <c r="J6" s="195"/>
      <c r="K6" s="195"/>
      <c r="L6" s="195"/>
    </row>
    <row r="7" spans="2:12" ht="14.25" x14ac:dyDescent="0.15">
      <c r="B7" s="9" t="s">
        <v>2</v>
      </c>
      <c r="C7" s="4" t="s">
        <v>41</v>
      </c>
      <c r="D7" s="10">
        <v>5</v>
      </c>
      <c r="E7" s="1"/>
      <c r="F7" s="9" t="s">
        <v>2</v>
      </c>
      <c r="G7" s="4" t="s">
        <v>41</v>
      </c>
      <c r="H7" s="10">
        <v>5</v>
      </c>
    </row>
    <row r="8" spans="2:12" ht="14.25" x14ac:dyDescent="0.15">
      <c r="B8" s="9"/>
      <c r="C8" s="4" t="s">
        <v>42</v>
      </c>
      <c r="D8" s="10">
        <f>D7*PI()/180</f>
        <v>8.7266462599716474E-2</v>
      </c>
      <c r="E8" s="1"/>
      <c r="F8" s="9"/>
      <c r="G8" s="4" t="s">
        <v>42</v>
      </c>
      <c r="H8" s="10">
        <f>H7*PI()/180</f>
        <v>8.7266462599716474E-2</v>
      </c>
    </row>
    <row r="9" spans="2:12" x14ac:dyDescent="0.15">
      <c r="B9" s="9" t="s">
        <v>3</v>
      </c>
      <c r="C9" s="4" t="s">
        <v>40</v>
      </c>
      <c r="D9" s="10">
        <f>ACOS(D6*COS(D8)/(D6+D5))-D8</f>
        <v>0.39667200932772684</v>
      </c>
      <c r="E9" s="1"/>
      <c r="F9" s="9" t="s">
        <v>3</v>
      </c>
      <c r="G9" s="4" t="s">
        <v>40</v>
      </c>
      <c r="H9" s="10">
        <f>ACOS(H6*COS(H8)/(H6+H5))-H8</f>
        <v>0.39667200932772684</v>
      </c>
    </row>
    <row r="10" spans="2:12" x14ac:dyDescent="0.15">
      <c r="B10" s="9"/>
      <c r="C10" s="4" t="s">
        <v>39</v>
      </c>
      <c r="D10" s="10">
        <f>D9*180/PI()</f>
        <v>22.727631985452771</v>
      </c>
      <c r="E10" s="1"/>
      <c r="F10" s="9"/>
      <c r="G10" s="4" t="s">
        <v>39</v>
      </c>
      <c r="H10" s="10">
        <f>H9*180/PI()</f>
        <v>22.727631985452771</v>
      </c>
    </row>
    <row r="11" spans="2:12" x14ac:dyDescent="0.15">
      <c r="B11" s="9" t="s">
        <v>4</v>
      </c>
      <c r="C11" s="4" t="s">
        <v>43</v>
      </c>
      <c r="D11" s="11">
        <f>(D6+D5)*SIN(D9)/COS(D8)</f>
        <v>2783.8751726156697</v>
      </c>
      <c r="E11" s="1"/>
      <c r="F11" s="9" t="s">
        <v>4</v>
      </c>
      <c r="G11" s="4" t="s">
        <v>43</v>
      </c>
      <c r="H11" s="11">
        <f>(H6+H5)*SIN(H9)/COS(H8)</f>
        <v>2783.8751726156697</v>
      </c>
    </row>
    <row r="12" spans="2:12" x14ac:dyDescent="0.15">
      <c r="B12" s="9" t="s">
        <v>80</v>
      </c>
      <c r="C12" s="4" t="s">
        <v>81</v>
      </c>
      <c r="D12" s="12">
        <f>3*10^8</f>
        <v>300000000</v>
      </c>
      <c r="E12" s="1"/>
      <c r="F12" s="9" t="s">
        <v>80</v>
      </c>
      <c r="G12" s="4" t="s">
        <v>81</v>
      </c>
      <c r="H12" s="12">
        <f>3*10^8</f>
        <v>300000000</v>
      </c>
    </row>
    <row r="13" spans="2:12" ht="14.25" thickBot="1" x14ac:dyDescent="0.2">
      <c r="B13" s="13" t="s">
        <v>92</v>
      </c>
      <c r="C13" s="14" t="s">
        <v>93</v>
      </c>
      <c r="D13" s="15">
        <f>1.38*10^-23</f>
        <v>1.3800000000000001E-23</v>
      </c>
      <c r="E13" s="1"/>
      <c r="F13" s="13" t="s">
        <v>92</v>
      </c>
      <c r="G13" s="14" t="s">
        <v>93</v>
      </c>
      <c r="H13" s="15">
        <f>1.38*10^-23</f>
        <v>1.3800000000000001E-23</v>
      </c>
    </row>
    <row r="14" spans="2:12" ht="14.25" thickBot="1" x14ac:dyDescent="0.2">
      <c r="B14" s="1"/>
      <c r="C14" s="1"/>
      <c r="D14" s="1"/>
      <c r="E14" s="1"/>
      <c r="F14" s="1"/>
      <c r="G14" s="1"/>
      <c r="H14" s="1"/>
    </row>
    <row r="15" spans="2:12" x14ac:dyDescent="0.15">
      <c r="B15" s="177" t="s">
        <v>10</v>
      </c>
      <c r="C15" s="178"/>
      <c r="D15" s="179"/>
      <c r="E15" s="1"/>
      <c r="F15" s="177" t="s">
        <v>109</v>
      </c>
      <c r="G15" s="178"/>
      <c r="H15" s="179"/>
    </row>
    <row r="16" spans="2:12" x14ac:dyDescent="0.15">
      <c r="B16" s="9" t="s">
        <v>6</v>
      </c>
      <c r="C16" s="4" t="s">
        <v>44</v>
      </c>
      <c r="D16" s="10">
        <v>437.48500000000001</v>
      </c>
      <c r="E16" s="1"/>
      <c r="F16" s="9" t="s">
        <v>6</v>
      </c>
      <c r="G16" s="4" t="s">
        <v>44</v>
      </c>
      <c r="H16" s="10">
        <v>145.88999999999999</v>
      </c>
    </row>
    <row r="17" spans="2:8" ht="14.25" x14ac:dyDescent="0.15">
      <c r="B17" s="34" t="s">
        <v>5</v>
      </c>
      <c r="C17" s="35" t="s">
        <v>45</v>
      </c>
      <c r="D17" s="36">
        <v>0.45</v>
      </c>
      <c r="E17" s="1"/>
      <c r="F17" s="34" t="s">
        <v>5</v>
      </c>
      <c r="G17" s="35" t="s">
        <v>45</v>
      </c>
      <c r="H17" s="36">
        <v>50</v>
      </c>
    </row>
    <row r="18" spans="2:8" ht="14.25" x14ac:dyDescent="0.15">
      <c r="B18" s="34"/>
      <c r="C18" s="35" t="s">
        <v>78</v>
      </c>
      <c r="D18" s="36">
        <f>10*LOG(D17)</f>
        <v>-3.4678748622465632</v>
      </c>
      <c r="E18" s="1"/>
      <c r="F18" s="34"/>
      <c r="G18" s="35" t="s">
        <v>78</v>
      </c>
      <c r="H18" s="36">
        <f>10*LOG(H17)</f>
        <v>16.989700043360187</v>
      </c>
    </row>
    <row r="19" spans="2:8" ht="14.25" x14ac:dyDescent="0.15">
      <c r="B19" s="9" t="s">
        <v>7</v>
      </c>
      <c r="C19" s="4" t="s">
        <v>46</v>
      </c>
      <c r="D19" s="10">
        <v>-2</v>
      </c>
      <c r="E19" s="1"/>
      <c r="F19" s="9" t="s">
        <v>7</v>
      </c>
      <c r="G19" s="4" t="s">
        <v>46</v>
      </c>
      <c r="H19" s="10">
        <v>-2</v>
      </c>
    </row>
    <row r="20" spans="2:8" ht="14.25" x14ac:dyDescent="0.15">
      <c r="B20" s="9" t="s">
        <v>8</v>
      </c>
      <c r="C20" s="4" t="s">
        <v>47</v>
      </c>
      <c r="D20" s="10">
        <v>-2</v>
      </c>
      <c r="E20" s="1"/>
      <c r="F20" s="9" t="s">
        <v>8</v>
      </c>
      <c r="G20" s="4" t="s">
        <v>47</v>
      </c>
      <c r="H20" s="10">
        <v>14</v>
      </c>
    </row>
    <row r="21" spans="2:8" ht="14.25" x14ac:dyDescent="0.15">
      <c r="B21" s="9" t="s">
        <v>9</v>
      </c>
      <c r="C21" s="4" t="s">
        <v>48</v>
      </c>
      <c r="D21" s="10">
        <f>D18+D19+D20</f>
        <v>-7.4678748622465632</v>
      </c>
      <c r="E21" s="1"/>
      <c r="F21" s="9" t="s">
        <v>9</v>
      </c>
      <c r="G21" s="4" t="s">
        <v>48</v>
      </c>
      <c r="H21" s="10">
        <f>H18+H19+H20</f>
        <v>28.989700043360187</v>
      </c>
    </row>
    <row r="22" spans="2:8" ht="15" thickBot="1" x14ac:dyDescent="0.2">
      <c r="B22" s="13" t="s">
        <v>20</v>
      </c>
      <c r="C22" s="14" t="s">
        <v>49</v>
      </c>
      <c r="D22" s="16">
        <v>0</v>
      </c>
      <c r="E22" s="1"/>
      <c r="F22" s="13" t="s">
        <v>20</v>
      </c>
      <c r="G22" s="14" t="s">
        <v>49</v>
      </c>
      <c r="H22" s="16">
        <v>0</v>
      </c>
    </row>
    <row r="23" spans="2:8" ht="14.25" thickBot="1" x14ac:dyDescent="0.2">
      <c r="B23" s="1"/>
      <c r="C23" s="1"/>
      <c r="D23" s="1"/>
      <c r="E23" s="1"/>
      <c r="F23" s="1"/>
      <c r="G23" s="1"/>
      <c r="H23" s="1"/>
    </row>
    <row r="24" spans="2:8" x14ac:dyDescent="0.15">
      <c r="B24" s="177" t="s">
        <v>11</v>
      </c>
      <c r="C24" s="178"/>
      <c r="D24" s="179"/>
      <c r="E24" s="1"/>
      <c r="F24" s="177" t="s">
        <v>11</v>
      </c>
      <c r="G24" s="178"/>
      <c r="H24" s="179"/>
    </row>
    <row r="25" spans="2:8" ht="14.25" x14ac:dyDescent="0.15">
      <c r="B25" s="9" t="s">
        <v>12</v>
      </c>
      <c r="C25" s="4" t="s">
        <v>55</v>
      </c>
      <c r="D25" s="17">
        <f>-(20*LOG(4*PI()*D16*10^6*D11/(D12*10^-3)))</f>
        <v>-154.154030683315</v>
      </c>
      <c r="E25" s="1"/>
      <c r="F25" s="9" t="s">
        <v>12</v>
      </c>
      <c r="G25" s="4" t="s">
        <v>55</v>
      </c>
      <c r="H25" s="17">
        <f>-(20*LOG(4*PI()*H16*10^6*H11/(H12*10^-3)))</f>
        <v>-144.61527782894089</v>
      </c>
    </row>
    <row r="26" spans="2:8" ht="14.25" x14ac:dyDescent="0.15">
      <c r="B26" s="9" t="s">
        <v>13</v>
      </c>
      <c r="C26" s="4" t="s">
        <v>50</v>
      </c>
      <c r="D26" s="10">
        <v>-3</v>
      </c>
      <c r="E26" s="1"/>
      <c r="F26" s="9" t="s">
        <v>13</v>
      </c>
      <c r="G26" s="4" t="s">
        <v>50</v>
      </c>
      <c r="H26" s="10">
        <v>-3</v>
      </c>
    </row>
    <row r="27" spans="2:8" ht="14.25" x14ac:dyDescent="0.15">
      <c r="B27" s="9" t="s">
        <v>14</v>
      </c>
      <c r="C27" s="4" t="s">
        <v>51</v>
      </c>
      <c r="D27" s="10">
        <v>0</v>
      </c>
      <c r="E27" s="1"/>
      <c r="F27" s="9" t="s">
        <v>14</v>
      </c>
      <c r="G27" s="4" t="s">
        <v>51</v>
      </c>
      <c r="H27" s="10">
        <v>0</v>
      </c>
    </row>
    <row r="28" spans="2:8" ht="14.25" x14ac:dyDescent="0.15">
      <c r="B28" s="9" t="s">
        <v>15</v>
      </c>
      <c r="C28" s="4" t="s">
        <v>52</v>
      </c>
      <c r="D28" s="10">
        <v>0</v>
      </c>
      <c r="E28" s="1"/>
      <c r="F28" s="9" t="s">
        <v>15</v>
      </c>
      <c r="G28" s="4" t="s">
        <v>52</v>
      </c>
      <c r="H28" s="10">
        <v>0</v>
      </c>
    </row>
    <row r="29" spans="2:8" ht="14.25" x14ac:dyDescent="0.15">
      <c r="B29" s="9" t="s">
        <v>16</v>
      </c>
      <c r="C29" s="4" t="s">
        <v>53</v>
      </c>
      <c r="D29" s="10">
        <v>0</v>
      </c>
      <c r="E29" s="1"/>
      <c r="F29" s="9" t="s">
        <v>16</v>
      </c>
      <c r="G29" s="4" t="s">
        <v>53</v>
      </c>
      <c r="H29" s="10">
        <v>0</v>
      </c>
    </row>
    <row r="30" spans="2:8" ht="15" thickBot="1" x14ac:dyDescent="0.2">
      <c r="B30" s="13" t="s">
        <v>17</v>
      </c>
      <c r="C30" s="14" t="s">
        <v>54</v>
      </c>
      <c r="D30" s="16">
        <f>D25+D26+D27+D28+D29</f>
        <v>-157.154030683315</v>
      </c>
      <c r="E30" s="1"/>
      <c r="F30" s="13" t="s">
        <v>17</v>
      </c>
      <c r="G30" s="14" t="s">
        <v>54</v>
      </c>
      <c r="H30" s="16">
        <f>H25+H26+H27+H28+H29</f>
        <v>-147.61527782894089</v>
      </c>
    </row>
    <row r="31" spans="2:8" ht="14.25" thickBot="1" x14ac:dyDescent="0.2">
      <c r="B31" s="1"/>
      <c r="C31" s="1"/>
      <c r="D31" s="1"/>
      <c r="E31" s="1"/>
      <c r="F31" s="1"/>
      <c r="G31" s="1"/>
      <c r="H31" s="1"/>
    </row>
    <row r="32" spans="2:8" x14ac:dyDescent="0.15">
      <c r="B32" s="177" t="s">
        <v>18</v>
      </c>
      <c r="C32" s="178"/>
      <c r="D32" s="179"/>
      <c r="E32" s="1"/>
      <c r="F32" s="177" t="s">
        <v>115</v>
      </c>
      <c r="G32" s="178"/>
      <c r="H32" s="179"/>
    </row>
    <row r="33" spans="2:8" x14ac:dyDescent="0.15">
      <c r="B33" s="56" t="s">
        <v>239</v>
      </c>
      <c r="C33" s="180" t="s">
        <v>205</v>
      </c>
      <c r="D33" s="181"/>
      <c r="E33" s="1"/>
      <c r="F33" s="56" t="s">
        <v>239</v>
      </c>
      <c r="G33" s="180" t="s">
        <v>206</v>
      </c>
      <c r="H33" s="181"/>
    </row>
    <row r="34" spans="2:8" ht="14.25" x14ac:dyDescent="0.15">
      <c r="B34" s="9" t="s">
        <v>19</v>
      </c>
      <c r="C34" s="4" t="s">
        <v>56</v>
      </c>
      <c r="D34" s="10">
        <v>0</v>
      </c>
      <c r="E34" s="1"/>
      <c r="F34" s="9" t="s">
        <v>19</v>
      </c>
      <c r="G34" s="4" t="s">
        <v>56</v>
      </c>
      <c r="H34" s="10">
        <v>0</v>
      </c>
    </row>
    <row r="35" spans="2:8" ht="14.25" x14ac:dyDescent="0.15">
      <c r="B35" s="52" t="s">
        <v>21</v>
      </c>
      <c r="C35" s="53" t="s">
        <v>57</v>
      </c>
      <c r="D35" s="54">
        <v>18.5</v>
      </c>
      <c r="E35" s="1"/>
      <c r="F35" s="9" t="s">
        <v>21</v>
      </c>
      <c r="G35" s="4" t="s">
        <v>57</v>
      </c>
      <c r="H35" s="10">
        <v>0</v>
      </c>
    </row>
    <row r="36" spans="2:8" ht="14.25" x14ac:dyDescent="0.15">
      <c r="B36" s="9" t="s">
        <v>22</v>
      </c>
      <c r="C36" s="4" t="s">
        <v>58</v>
      </c>
      <c r="D36" s="10">
        <v>-2</v>
      </c>
      <c r="E36" s="1"/>
      <c r="F36" s="9" t="s">
        <v>22</v>
      </c>
      <c r="G36" s="4" t="s">
        <v>58</v>
      </c>
      <c r="H36" s="10">
        <v>-2</v>
      </c>
    </row>
    <row r="37" spans="2:8" ht="13.5" customHeight="1" x14ac:dyDescent="0.15">
      <c r="B37" s="9" t="s">
        <v>86</v>
      </c>
      <c r="C37" s="4" t="s">
        <v>87</v>
      </c>
      <c r="D37" s="10">
        <f>10^(-D36/10)</f>
        <v>1.5848931924611136</v>
      </c>
      <c r="E37" s="1"/>
      <c r="F37" s="9" t="s">
        <v>86</v>
      </c>
      <c r="G37" s="4" t="s">
        <v>87</v>
      </c>
      <c r="H37" s="10">
        <f>10^(-H36/10)</f>
        <v>1.5848931924611136</v>
      </c>
    </row>
    <row r="38" spans="2:8" x14ac:dyDescent="0.15">
      <c r="B38" s="9" t="s">
        <v>23</v>
      </c>
      <c r="C38" s="4" t="s">
        <v>59</v>
      </c>
      <c r="D38" s="10">
        <f>D21-D22+D30-D34+D35+D36</f>
        <v>-148.12190554556156</v>
      </c>
      <c r="E38" s="1"/>
      <c r="F38" s="9" t="s">
        <v>23</v>
      </c>
      <c r="G38" s="4" t="s">
        <v>59</v>
      </c>
      <c r="H38" s="10">
        <f>H21-H22+H30-H34+H35+H36</f>
        <v>-120.6255777855807</v>
      </c>
    </row>
    <row r="39" spans="2:8" ht="14.25" x14ac:dyDescent="0.15">
      <c r="B39" s="9" t="s">
        <v>24</v>
      </c>
      <c r="C39" s="4" t="s">
        <v>60</v>
      </c>
      <c r="D39" s="10">
        <v>300</v>
      </c>
      <c r="E39" s="1"/>
      <c r="F39" s="9" t="s">
        <v>24</v>
      </c>
      <c r="G39" s="4" t="s">
        <v>60</v>
      </c>
      <c r="H39" s="10">
        <v>300</v>
      </c>
    </row>
    <row r="40" spans="2:8" ht="14.25" x14ac:dyDescent="0.15">
      <c r="B40" s="9" t="s">
        <v>25</v>
      </c>
      <c r="C40" s="4" t="s">
        <v>62</v>
      </c>
      <c r="D40" s="10">
        <f>D42</f>
        <v>300</v>
      </c>
      <c r="E40" s="1"/>
      <c r="F40" s="9" t="s">
        <v>25</v>
      </c>
      <c r="G40" s="4" t="s">
        <v>62</v>
      </c>
      <c r="H40" s="10">
        <f>H42</f>
        <v>300</v>
      </c>
    </row>
    <row r="41" spans="2:8" ht="14.25" x14ac:dyDescent="0.15">
      <c r="B41" s="9" t="s">
        <v>26</v>
      </c>
      <c r="C41" s="4" t="s">
        <v>63</v>
      </c>
      <c r="D41" s="10">
        <v>300</v>
      </c>
      <c r="E41" s="1"/>
      <c r="F41" s="9" t="s">
        <v>26</v>
      </c>
      <c r="G41" s="4" t="s">
        <v>63</v>
      </c>
      <c r="H41" s="10">
        <v>300</v>
      </c>
    </row>
    <row r="42" spans="2:8" ht="14.25" x14ac:dyDescent="0.15">
      <c r="B42" s="9" t="s">
        <v>61</v>
      </c>
      <c r="C42" s="4" t="s">
        <v>64</v>
      </c>
      <c r="D42" s="10">
        <v>300</v>
      </c>
      <c r="E42" s="1"/>
      <c r="F42" s="9" t="s">
        <v>61</v>
      </c>
      <c r="G42" s="4" t="s">
        <v>64</v>
      </c>
      <c r="H42" s="10">
        <v>300</v>
      </c>
    </row>
    <row r="43" spans="2:8" x14ac:dyDescent="0.15">
      <c r="B43" s="9" t="s">
        <v>27</v>
      </c>
      <c r="C43" s="4" t="s">
        <v>66</v>
      </c>
      <c r="D43" s="10">
        <f>D41/D42+1</f>
        <v>2</v>
      </c>
      <c r="E43" s="1"/>
      <c r="F43" s="9" t="s">
        <v>27</v>
      </c>
      <c r="G43" s="4" t="s">
        <v>66</v>
      </c>
      <c r="H43" s="10">
        <v>5</v>
      </c>
    </row>
    <row r="44" spans="2:8" x14ac:dyDescent="0.15">
      <c r="B44" s="9"/>
      <c r="C44" s="4" t="s">
        <v>65</v>
      </c>
      <c r="D44" s="10">
        <f>10*LOG(D43)</f>
        <v>3.0102999566398121</v>
      </c>
      <c r="E44" s="1"/>
      <c r="F44" s="9"/>
      <c r="G44" s="4" t="s">
        <v>65</v>
      </c>
      <c r="H44" s="10">
        <f>10*LOG(H43)</f>
        <v>6.9897000433601884</v>
      </c>
    </row>
    <row r="45" spans="2:8" ht="14.25" x14ac:dyDescent="0.15">
      <c r="B45" s="9" t="s">
        <v>28</v>
      </c>
      <c r="C45" s="4" t="s">
        <v>67</v>
      </c>
      <c r="D45" s="10">
        <f>10*LOG(D39/D37+(1-(1/D37))*D40+(D43-1)*D42)</f>
        <v>27.781512503836435</v>
      </c>
      <c r="E45" s="1"/>
      <c r="F45" s="9" t="s">
        <v>28</v>
      </c>
      <c r="G45" s="4" t="s">
        <v>67</v>
      </c>
      <c r="H45" s="10">
        <f>10*LOG(H39/H37+(1-(1/H37))*H40+(H43-1)*H42)</f>
        <v>31.760912590556813</v>
      </c>
    </row>
    <row r="46" spans="2:8" ht="14.25" x14ac:dyDescent="0.15">
      <c r="B46" s="9" t="s">
        <v>88</v>
      </c>
      <c r="C46" s="4" t="s">
        <v>90</v>
      </c>
      <c r="D46" s="10">
        <v>300</v>
      </c>
      <c r="E46" s="1"/>
      <c r="F46" s="9" t="s">
        <v>88</v>
      </c>
      <c r="G46" s="4" t="s">
        <v>90</v>
      </c>
      <c r="H46" s="10">
        <v>300</v>
      </c>
    </row>
    <row r="47" spans="2:8" ht="14.25" x14ac:dyDescent="0.15">
      <c r="B47" s="9" t="s">
        <v>89</v>
      </c>
      <c r="C47" s="4" t="s">
        <v>91</v>
      </c>
      <c r="D47" s="10">
        <f>1.12*D46-50</f>
        <v>286.00000000000006</v>
      </c>
      <c r="E47" s="1"/>
      <c r="F47" s="9" t="s">
        <v>89</v>
      </c>
      <c r="G47" s="4" t="s">
        <v>91</v>
      </c>
      <c r="H47" s="10">
        <f>1.12*H46-50</f>
        <v>286.00000000000006</v>
      </c>
    </row>
    <row r="48" spans="2:8" ht="14.25" x14ac:dyDescent="0.15">
      <c r="B48" s="9" t="s">
        <v>29</v>
      </c>
      <c r="C48" s="4" t="s">
        <v>68</v>
      </c>
      <c r="D48" s="10">
        <f>D47*(1-10^(-D27/10))</f>
        <v>0</v>
      </c>
      <c r="E48" s="1"/>
      <c r="F48" s="9" t="s">
        <v>29</v>
      </c>
      <c r="G48" s="4" t="s">
        <v>68</v>
      </c>
      <c r="H48" s="10">
        <f>H47*(1-10^(-H27/10))</f>
        <v>0</v>
      </c>
    </row>
    <row r="49" spans="2:8" x14ac:dyDescent="0.15">
      <c r="B49" s="9" t="s">
        <v>69</v>
      </c>
      <c r="C49" s="4" t="s">
        <v>94</v>
      </c>
      <c r="D49" s="10">
        <v>5</v>
      </c>
      <c r="E49" s="1"/>
      <c r="F49" s="9" t="s">
        <v>69</v>
      </c>
      <c r="G49" s="4" t="s">
        <v>94</v>
      </c>
      <c r="H49" s="10">
        <v>5</v>
      </c>
    </row>
    <row r="50" spans="2:8" x14ac:dyDescent="0.15">
      <c r="B50" s="9" t="s">
        <v>30</v>
      </c>
      <c r="C50" s="4" t="s">
        <v>96</v>
      </c>
      <c r="D50" s="33">
        <f>D13*D45*D49</f>
        <v>1.9169243627647141E-21</v>
      </c>
      <c r="E50" s="1"/>
      <c r="F50" s="9" t="s">
        <v>30</v>
      </c>
      <c r="G50" s="4" t="s">
        <v>96</v>
      </c>
      <c r="H50" s="17">
        <f>H13*H45*H49</f>
        <v>2.19150296874842E-21</v>
      </c>
    </row>
    <row r="51" spans="2:8" x14ac:dyDescent="0.15">
      <c r="B51" s="9"/>
      <c r="C51" s="4" t="s">
        <v>95</v>
      </c>
      <c r="D51" s="17">
        <f>10*LOG(D50)</f>
        <v>-207.17395023001941</v>
      </c>
      <c r="E51" s="1"/>
      <c r="F51" s="9"/>
      <c r="G51" s="4" t="s">
        <v>95</v>
      </c>
      <c r="H51" s="17">
        <f>10*LOG(H50)</f>
        <v>-206.5925793668687</v>
      </c>
    </row>
    <row r="52" spans="2:8" ht="14.25" x14ac:dyDescent="0.15">
      <c r="B52" s="9" t="s">
        <v>31</v>
      </c>
      <c r="C52" s="4" t="s">
        <v>70</v>
      </c>
      <c r="D52" s="33">
        <f>10*LOG(D13)+D45</f>
        <v>-200.81969663215119</v>
      </c>
      <c r="E52" s="1"/>
      <c r="F52" s="9" t="s">
        <v>31</v>
      </c>
      <c r="G52" s="4" t="s">
        <v>70</v>
      </c>
      <c r="H52" s="17">
        <f>10*LOG(H13)+H45</f>
        <v>-196.84029654543082</v>
      </c>
    </row>
    <row r="53" spans="2:8" x14ac:dyDescent="0.15">
      <c r="B53" s="37" t="s">
        <v>125</v>
      </c>
      <c r="C53" s="38" t="s">
        <v>126</v>
      </c>
      <c r="D53" s="39">
        <f>D35+D36</f>
        <v>16.5</v>
      </c>
      <c r="E53" s="1"/>
      <c r="F53" s="37" t="s">
        <v>125</v>
      </c>
      <c r="G53" s="38" t="s">
        <v>126</v>
      </c>
      <c r="H53" s="39">
        <f>H35+H36</f>
        <v>-2</v>
      </c>
    </row>
    <row r="54" spans="2:8" ht="14.25" thickBot="1" x14ac:dyDescent="0.2">
      <c r="B54" s="13" t="s">
        <v>32</v>
      </c>
      <c r="C54" s="14" t="s">
        <v>97</v>
      </c>
      <c r="D54" s="16">
        <f>D35+D36-D45</f>
        <v>-11.281512503836435</v>
      </c>
      <c r="E54" s="1"/>
      <c r="F54" s="13" t="s">
        <v>32</v>
      </c>
      <c r="G54" s="14" t="s">
        <v>97</v>
      </c>
      <c r="H54" s="16">
        <f>H35+H36-H45</f>
        <v>-33.760912590556813</v>
      </c>
    </row>
    <row r="55" spans="2:8" ht="14.25" thickBot="1" x14ac:dyDescent="0.2">
      <c r="B55" s="1"/>
      <c r="C55" s="1"/>
      <c r="D55" s="1"/>
      <c r="E55" s="1"/>
      <c r="F55" s="1"/>
      <c r="G55" s="1"/>
      <c r="H55" s="1"/>
    </row>
    <row r="56" spans="2:8" ht="14.25" x14ac:dyDescent="0.15">
      <c r="B56" s="6" t="s">
        <v>33</v>
      </c>
      <c r="C56" s="7" t="s">
        <v>71</v>
      </c>
      <c r="D56" s="8">
        <v>-6</v>
      </c>
      <c r="E56" s="1"/>
      <c r="F56" s="6" t="s">
        <v>33</v>
      </c>
      <c r="G56" s="7" t="s">
        <v>71</v>
      </c>
      <c r="H56" s="8">
        <v>-6</v>
      </c>
    </row>
    <row r="57" spans="2:8" ht="14.25" x14ac:dyDescent="0.15">
      <c r="B57" s="9" t="s">
        <v>111</v>
      </c>
      <c r="C57" s="4" t="s">
        <v>112</v>
      </c>
      <c r="D57" s="10">
        <v>-1</v>
      </c>
      <c r="E57" s="1"/>
      <c r="F57" s="9" t="s">
        <v>111</v>
      </c>
      <c r="G57" s="4" t="s">
        <v>112</v>
      </c>
      <c r="H57" s="10">
        <v>-1</v>
      </c>
    </row>
    <row r="58" spans="2:8" ht="14.25" x14ac:dyDescent="0.15">
      <c r="B58" s="27" t="s">
        <v>113</v>
      </c>
      <c r="C58" s="28" t="s">
        <v>114</v>
      </c>
      <c r="D58" s="29">
        <f>D56+D57</f>
        <v>-7</v>
      </c>
      <c r="E58" s="1"/>
      <c r="F58" s="27" t="s">
        <v>113</v>
      </c>
      <c r="G58" s="28" t="s">
        <v>114</v>
      </c>
      <c r="H58" s="29">
        <f>H56+H57</f>
        <v>-7</v>
      </c>
    </row>
    <row r="59" spans="2:8" ht="14.25" x14ac:dyDescent="0.15">
      <c r="B59" s="18" t="s">
        <v>34</v>
      </c>
      <c r="C59" s="5" t="s">
        <v>72</v>
      </c>
      <c r="D59" s="19">
        <v>1200</v>
      </c>
      <c r="E59" s="1"/>
      <c r="F59" s="18" t="s">
        <v>34</v>
      </c>
      <c r="G59" s="5" t="s">
        <v>72</v>
      </c>
      <c r="H59" s="19">
        <v>1200</v>
      </c>
    </row>
    <row r="60" spans="2:8" ht="14.25" x14ac:dyDescent="0.15">
      <c r="B60" s="18"/>
      <c r="C60" s="5" t="s">
        <v>73</v>
      </c>
      <c r="D60" s="19">
        <f>10*LOG(D59)</f>
        <v>30.791812460476248</v>
      </c>
      <c r="E60" s="1"/>
      <c r="F60" s="18"/>
      <c r="G60" s="5" t="s">
        <v>73</v>
      </c>
      <c r="H60" s="19">
        <f>10*LOG(H59)</f>
        <v>30.791812460476248</v>
      </c>
    </row>
    <row r="61" spans="2:8" ht="14.25" x14ac:dyDescent="0.15">
      <c r="B61" s="9" t="s">
        <v>99</v>
      </c>
      <c r="C61" s="4" t="s">
        <v>100</v>
      </c>
      <c r="D61" s="10">
        <f>10^-6</f>
        <v>9.9999999999999995E-7</v>
      </c>
      <c r="E61" s="1"/>
      <c r="F61" s="9" t="s">
        <v>99</v>
      </c>
      <c r="G61" s="4" t="s">
        <v>100</v>
      </c>
      <c r="H61" s="10">
        <f>10^-6</f>
        <v>9.9999999999999995E-7</v>
      </c>
    </row>
    <row r="62" spans="2:8" ht="14.25" x14ac:dyDescent="0.15">
      <c r="B62" s="9" t="s">
        <v>35</v>
      </c>
      <c r="C62" s="4" t="s">
        <v>74</v>
      </c>
      <c r="D62" s="10">
        <f>D38-D52</f>
        <v>52.697791086589632</v>
      </c>
      <c r="E62" s="1"/>
      <c r="F62" s="9" t="s">
        <v>35</v>
      </c>
      <c r="G62" s="4" t="s">
        <v>74</v>
      </c>
      <c r="H62" s="10">
        <f>H38-H52</f>
        <v>76.214718759850115</v>
      </c>
    </row>
    <row r="63" spans="2:8" ht="14.25" x14ac:dyDescent="0.15">
      <c r="B63" s="9" t="s">
        <v>37</v>
      </c>
      <c r="C63" s="4" t="s">
        <v>101</v>
      </c>
      <c r="D63" s="10">
        <v>10.5</v>
      </c>
      <c r="E63" s="1"/>
      <c r="F63" s="9" t="s">
        <v>37</v>
      </c>
      <c r="G63" s="4" t="s">
        <v>101</v>
      </c>
      <c r="H63" s="10">
        <v>10.5</v>
      </c>
    </row>
    <row r="64" spans="2:8" ht="14.25" x14ac:dyDescent="0.15">
      <c r="B64" s="9" t="s">
        <v>36</v>
      </c>
      <c r="C64" s="4" t="s">
        <v>75</v>
      </c>
      <c r="D64" s="10">
        <f>D63-D57-D56+D60</f>
        <v>48.291812460476251</v>
      </c>
      <c r="E64" s="1"/>
      <c r="F64" s="9" t="s">
        <v>36</v>
      </c>
      <c r="G64" s="4" t="s">
        <v>75</v>
      </c>
      <c r="H64" s="10">
        <f>H63-H57-H56+H60</f>
        <v>48.291812460476251</v>
      </c>
    </row>
    <row r="65" spans="2:8" ht="14.25" thickBot="1" x14ac:dyDescent="0.2">
      <c r="B65" s="30" t="s">
        <v>102</v>
      </c>
      <c r="C65" s="31" t="s">
        <v>232</v>
      </c>
      <c r="D65" s="32">
        <f>D62-D64</f>
        <v>4.4059786261133809</v>
      </c>
      <c r="E65" s="1"/>
      <c r="F65" s="30" t="s">
        <v>102</v>
      </c>
      <c r="G65" s="31" t="s">
        <v>232</v>
      </c>
      <c r="H65" s="32">
        <f>H62-H64</f>
        <v>27.922906299373864</v>
      </c>
    </row>
    <row r="66" spans="2:8" x14ac:dyDescent="0.15">
      <c r="B66" s="1"/>
      <c r="C66" s="1"/>
      <c r="D66" s="1"/>
      <c r="E66" s="1"/>
      <c r="F66" s="1"/>
      <c r="G66" s="1"/>
      <c r="H66" s="1"/>
    </row>
  </sheetData>
  <mergeCells count="13">
    <mergeCell ref="B32:D32"/>
    <mergeCell ref="F32:H32"/>
    <mergeCell ref="C33:D33"/>
    <mergeCell ref="G33:H33"/>
    <mergeCell ref="B15:D15"/>
    <mergeCell ref="F15:H15"/>
    <mergeCell ref="B24:D24"/>
    <mergeCell ref="F24:H24"/>
    <mergeCell ref="J2:L6"/>
    <mergeCell ref="C3:D3"/>
    <mergeCell ref="C4:D4"/>
    <mergeCell ref="G3:H3"/>
    <mergeCell ref="G4:H4"/>
  </mergeCells>
  <phoneticPr fontId="1"/>
  <pageMargins left="0.35433070866141736" right="0" top="0" bottom="0" header="0.51181102362204722" footer="0.51181102362204722"/>
  <pageSetup paperSize="8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6"/>
  <sheetViews>
    <sheetView zoomScale="75" workbookViewId="0">
      <selection activeCell="G3" sqref="G3"/>
    </sheetView>
  </sheetViews>
  <sheetFormatPr defaultColWidth="9" defaultRowHeight="15" customHeight="1" x14ac:dyDescent="0.15"/>
  <cols>
    <col min="1" max="1" width="2.625" style="59" customWidth="1"/>
    <col min="2" max="2" width="36.5" style="59" customWidth="1"/>
    <col min="3" max="3" width="10.625" style="59" customWidth="1"/>
    <col min="4" max="4" width="12.75" style="59" customWidth="1"/>
    <col min="5" max="5" width="2.625" style="59" customWidth="1"/>
    <col min="6" max="6" width="36.625" style="59" customWidth="1"/>
    <col min="7" max="7" width="10.625" style="59" customWidth="1"/>
    <col min="8" max="8" width="12.125" style="59" customWidth="1"/>
    <col min="9" max="9" width="2.625" style="59" customWidth="1"/>
    <col min="10" max="10" width="36.625" style="59" customWidth="1"/>
    <col min="11" max="11" width="10.625" style="59" customWidth="1"/>
    <col min="12" max="12" width="12.125" style="59" customWidth="1"/>
    <col min="13" max="13" width="2.625" style="59" customWidth="1"/>
    <col min="14" max="14" width="37.125" style="59" customWidth="1"/>
    <col min="15" max="15" width="10.625" style="59" customWidth="1"/>
    <col min="16" max="16" width="12.125" style="59" customWidth="1"/>
    <col min="17" max="16384" width="9" style="59"/>
  </cols>
  <sheetData>
    <row r="1" spans="1:16" ht="15" customHeight="1" x14ac:dyDescent="0.15">
      <c r="A1" s="57"/>
      <c r="B1" s="58" t="s">
        <v>203</v>
      </c>
    </row>
    <row r="3" spans="1:16" ht="15" customHeight="1" thickBot="1" x14ac:dyDescent="0.2">
      <c r="B3" s="59" t="s">
        <v>117</v>
      </c>
      <c r="F3" s="59" t="s">
        <v>243</v>
      </c>
      <c r="J3" s="59" t="s">
        <v>244</v>
      </c>
      <c r="N3" s="59" t="s">
        <v>245</v>
      </c>
    </row>
    <row r="4" spans="1:16" ht="15" customHeight="1" thickBot="1" x14ac:dyDescent="0.2">
      <c r="B4" s="196" t="s">
        <v>246</v>
      </c>
      <c r="C4" s="197"/>
      <c r="D4" s="198"/>
      <c r="F4" s="196" t="s">
        <v>247</v>
      </c>
      <c r="G4" s="197"/>
      <c r="H4" s="198"/>
      <c r="I4" s="57"/>
      <c r="J4" s="196" t="s">
        <v>248</v>
      </c>
      <c r="K4" s="197"/>
      <c r="L4" s="198"/>
      <c r="N4" s="196" t="s">
        <v>249</v>
      </c>
      <c r="O4" s="197"/>
      <c r="P4" s="198"/>
    </row>
    <row r="5" spans="1:16" ht="15" customHeight="1" x14ac:dyDescent="0.15">
      <c r="B5" s="60" t="s">
        <v>208</v>
      </c>
      <c r="C5" s="211" t="s">
        <v>118</v>
      </c>
      <c r="D5" s="212"/>
      <c r="F5" s="60" t="s">
        <v>208</v>
      </c>
      <c r="G5" s="211" t="s">
        <v>250</v>
      </c>
      <c r="H5" s="212"/>
      <c r="I5" s="61"/>
      <c r="J5" s="60" t="s">
        <v>208</v>
      </c>
      <c r="K5" s="211" t="s">
        <v>116</v>
      </c>
      <c r="L5" s="212"/>
      <c r="N5" s="60" t="s">
        <v>208</v>
      </c>
      <c r="O5" s="211" t="s">
        <v>118</v>
      </c>
      <c r="P5" s="212"/>
    </row>
    <row r="6" spans="1:16" ht="15" customHeight="1" x14ac:dyDescent="0.15">
      <c r="B6" s="62" t="s">
        <v>209</v>
      </c>
      <c r="C6" s="199" t="s">
        <v>251</v>
      </c>
      <c r="D6" s="200"/>
      <c r="F6" s="62" t="s">
        <v>209</v>
      </c>
      <c r="G6" s="199" t="s">
        <v>251</v>
      </c>
      <c r="H6" s="200"/>
      <c r="I6" s="61"/>
      <c r="J6" s="62" t="s">
        <v>209</v>
      </c>
      <c r="K6" s="199" t="s">
        <v>251</v>
      </c>
      <c r="L6" s="200"/>
      <c r="N6" s="62" t="s">
        <v>209</v>
      </c>
      <c r="O6" s="199" t="s">
        <v>241</v>
      </c>
      <c r="P6" s="200"/>
    </row>
    <row r="7" spans="1:16" ht="15" customHeight="1" x14ac:dyDescent="0.15">
      <c r="B7" s="63" t="s">
        <v>210</v>
      </c>
      <c r="C7" s="64" t="s">
        <v>38</v>
      </c>
      <c r="D7" s="65">
        <v>800</v>
      </c>
      <c r="F7" s="63" t="s">
        <v>210</v>
      </c>
      <c r="G7" s="64" t="s">
        <v>38</v>
      </c>
      <c r="H7" s="65">
        <v>800</v>
      </c>
      <c r="I7" s="61"/>
      <c r="J7" s="63" t="s">
        <v>210</v>
      </c>
      <c r="K7" s="64" t="s">
        <v>38</v>
      </c>
      <c r="L7" s="65">
        <v>800</v>
      </c>
      <c r="N7" s="63" t="s">
        <v>210</v>
      </c>
      <c r="O7" s="64" t="s">
        <v>38</v>
      </c>
      <c r="P7" s="65">
        <v>800</v>
      </c>
    </row>
    <row r="8" spans="1:16" ht="15" customHeight="1" x14ac:dyDescent="0.15">
      <c r="B8" s="63" t="s">
        <v>211</v>
      </c>
      <c r="C8" s="64" t="s">
        <v>252</v>
      </c>
      <c r="D8" s="65">
        <v>6378.1419999999998</v>
      </c>
      <c r="F8" s="63" t="s">
        <v>211</v>
      </c>
      <c r="G8" s="64" t="s">
        <v>252</v>
      </c>
      <c r="H8" s="65">
        <v>6378.1419999999998</v>
      </c>
      <c r="I8" s="61"/>
      <c r="J8" s="63" t="s">
        <v>211</v>
      </c>
      <c r="K8" s="64" t="s">
        <v>252</v>
      </c>
      <c r="L8" s="65">
        <v>6378.1419999999998</v>
      </c>
      <c r="N8" s="63" t="s">
        <v>211</v>
      </c>
      <c r="O8" s="64" t="s">
        <v>252</v>
      </c>
      <c r="P8" s="65">
        <v>6378.1419999999998</v>
      </c>
    </row>
    <row r="9" spans="1:16" ht="15" customHeight="1" x14ac:dyDescent="0.15">
      <c r="B9" s="201" t="s">
        <v>212</v>
      </c>
      <c r="C9" s="64" t="s">
        <v>285</v>
      </c>
      <c r="D9" s="65">
        <v>5</v>
      </c>
      <c r="F9" s="201" t="s">
        <v>212</v>
      </c>
      <c r="G9" s="64" t="s">
        <v>285</v>
      </c>
      <c r="H9" s="65">
        <v>0.5</v>
      </c>
      <c r="I9" s="61"/>
      <c r="J9" s="201" t="s">
        <v>212</v>
      </c>
      <c r="K9" s="64" t="s">
        <v>285</v>
      </c>
      <c r="L9" s="65">
        <v>5</v>
      </c>
      <c r="N9" s="201" t="s">
        <v>212</v>
      </c>
      <c r="O9" s="64" t="s">
        <v>285</v>
      </c>
      <c r="P9" s="65">
        <v>5</v>
      </c>
    </row>
    <row r="10" spans="1:16" ht="15" customHeight="1" x14ac:dyDescent="0.15">
      <c r="B10" s="202"/>
      <c r="C10" s="64" t="s">
        <v>286</v>
      </c>
      <c r="D10" s="65">
        <f>D9*PI()/180</f>
        <v>8.7266462599716474E-2</v>
      </c>
      <c r="F10" s="202"/>
      <c r="G10" s="64" t="s">
        <v>286</v>
      </c>
      <c r="H10" s="65">
        <f>H9*PI()/180</f>
        <v>8.7266462599716477E-3</v>
      </c>
      <c r="I10" s="61"/>
      <c r="J10" s="202"/>
      <c r="K10" s="64" t="s">
        <v>286</v>
      </c>
      <c r="L10" s="65">
        <f>L9*PI()/180</f>
        <v>8.7266462599716474E-2</v>
      </c>
      <c r="N10" s="202"/>
      <c r="O10" s="64" t="s">
        <v>286</v>
      </c>
      <c r="P10" s="65">
        <f>P9*PI()/180</f>
        <v>8.7266462599716474E-2</v>
      </c>
    </row>
    <row r="11" spans="1:16" ht="15" customHeight="1" x14ac:dyDescent="0.15">
      <c r="B11" s="217" t="s">
        <v>213</v>
      </c>
      <c r="C11" s="64" t="s">
        <v>40</v>
      </c>
      <c r="D11" s="65">
        <f>ACOS(D8*COS(D10)/(D8+D7))-D10</f>
        <v>0.39667200932772684</v>
      </c>
      <c r="F11" s="217" t="s">
        <v>213</v>
      </c>
      <c r="G11" s="64" t="s">
        <v>40</v>
      </c>
      <c r="H11" s="65">
        <f>ACOS(H8*COS(H10)/(H8+H7))-H10</f>
        <v>0.46796735602659212</v>
      </c>
      <c r="I11" s="61"/>
      <c r="J11" s="217" t="s">
        <v>213</v>
      </c>
      <c r="K11" s="64" t="s">
        <v>40</v>
      </c>
      <c r="L11" s="65">
        <f>ACOS(L8*COS(L10)/(L8+L7))-L10</f>
        <v>0.39667200932772684</v>
      </c>
      <c r="N11" s="217" t="s">
        <v>213</v>
      </c>
      <c r="O11" s="64" t="s">
        <v>40</v>
      </c>
      <c r="P11" s="65">
        <f>ACOS(P8*COS(P10)/(P8+P7))-P10</f>
        <v>0.39667200932772684</v>
      </c>
    </row>
    <row r="12" spans="1:16" ht="15" customHeight="1" x14ac:dyDescent="0.15">
      <c r="B12" s="218"/>
      <c r="C12" s="64" t="s">
        <v>39</v>
      </c>
      <c r="D12" s="65">
        <f>D11*180/PI()</f>
        <v>22.727631985452771</v>
      </c>
      <c r="F12" s="218"/>
      <c r="G12" s="64" t="s">
        <v>39</v>
      </c>
      <c r="H12" s="65">
        <f>H11*180/PI()</f>
        <v>26.812554450219722</v>
      </c>
      <c r="I12" s="61"/>
      <c r="J12" s="218"/>
      <c r="K12" s="64" t="s">
        <v>39</v>
      </c>
      <c r="L12" s="65">
        <f>L11*180/PI()</f>
        <v>22.727631985452771</v>
      </c>
      <c r="N12" s="218"/>
      <c r="O12" s="64" t="s">
        <v>39</v>
      </c>
      <c r="P12" s="65">
        <f>P11*180/PI()</f>
        <v>22.727631985452771</v>
      </c>
    </row>
    <row r="13" spans="1:16" ht="15" customHeight="1" x14ac:dyDescent="0.15">
      <c r="B13" s="63" t="s">
        <v>214</v>
      </c>
      <c r="C13" s="64" t="s">
        <v>43</v>
      </c>
      <c r="D13" s="65">
        <f>(D8+D7)*SIN(D11)/COS(D10)</f>
        <v>2783.8751726156697</v>
      </c>
      <c r="F13" s="63" t="s">
        <v>214</v>
      </c>
      <c r="G13" s="64" t="s">
        <v>43</v>
      </c>
      <c r="H13" s="65">
        <f>(H8+H7)*SIN(H11)/COS(H10)</f>
        <v>3237.9901296912776</v>
      </c>
      <c r="I13" s="61"/>
      <c r="J13" s="63" t="s">
        <v>214</v>
      </c>
      <c r="K13" s="64" t="s">
        <v>43</v>
      </c>
      <c r="L13" s="65">
        <f>(L8+L7)*SIN(L11)/COS(L10)</f>
        <v>2783.8751726156697</v>
      </c>
      <c r="N13" s="63" t="s">
        <v>214</v>
      </c>
      <c r="O13" s="64" t="s">
        <v>43</v>
      </c>
      <c r="P13" s="65">
        <f>(P8+P7)*SIN(P11)/COS(P10)</f>
        <v>2783.8751726156697</v>
      </c>
    </row>
    <row r="14" spans="1:16" ht="15" customHeight="1" x14ac:dyDescent="0.15">
      <c r="B14" s="63" t="s">
        <v>215</v>
      </c>
      <c r="C14" s="64" t="s">
        <v>253</v>
      </c>
      <c r="D14" s="66">
        <f>3*10^8</f>
        <v>300000000</v>
      </c>
      <c r="F14" s="63" t="s">
        <v>215</v>
      </c>
      <c r="G14" s="64" t="s">
        <v>253</v>
      </c>
      <c r="H14" s="66">
        <f>3*10^8</f>
        <v>300000000</v>
      </c>
      <c r="I14" s="67"/>
      <c r="J14" s="63" t="s">
        <v>215</v>
      </c>
      <c r="K14" s="64" t="s">
        <v>253</v>
      </c>
      <c r="L14" s="66">
        <f>3*10^8</f>
        <v>300000000</v>
      </c>
      <c r="N14" s="63" t="s">
        <v>215</v>
      </c>
      <c r="O14" s="64" t="s">
        <v>253</v>
      </c>
      <c r="P14" s="66">
        <f>3*10^8</f>
        <v>300000000</v>
      </c>
    </row>
    <row r="15" spans="1:16" ht="15" customHeight="1" thickBot="1" x14ac:dyDescent="0.2">
      <c r="B15" s="68" t="s">
        <v>254</v>
      </c>
      <c r="C15" s="69" t="s">
        <v>321</v>
      </c>
      <c r="D15" s="70">
        <f>1.38*10^-23</f>
        <v>1.3800000000000001E-23</v>
      </c>
      <c r="F15" s="68" t="s">
        <v>254</v>
      </c>
      <c r="G15" s="69" t="s">
        <v>322</v>
      </c>
      <c r="H15" s="70">
        <f>1.38*10^-23</f>
        <v>1.3800000000000001E-23</v>
      </c>
      <c r="I15" s="71"/>
      <c r="J15" s="68" t="s">
        <v>254</v>
      </c>
      <c r="K15" s="69" t="s">
        <v>322</v>
      </c>
      <c r="L15" s="70">
        <f>1.38*10^-23</f>
        <v>1.3800000000000001E-23</v>
      </c>
      <c r="N15" s="68" t="s">
        <v>254</v>
      </c>
      <c r="O15" s="69" t="s">
        <v>321</v>
      </c>
      <c r="P15" s="70">
        <f>1.38*10^-23</f>
        <v>1.3800000000000001E-23</v>
      </c>
    </row>
    <row r="16" spans="1:16" ht="15" customHeight="1" thickBot="1" x14ac:dyDescent="0.2"/>
    <row r="17" spans="2:16" ht="15" customHeight="1" thickBot="1" x14ac:dyDescent="0.2">
      <c r="B17" s="203" t="s">
        <v>216</v>
      </c>
      <c r="C17" s="204"/>
      <c r="D17" s="205"/>
      <c r="F17" s="203" t="s">
        <v>216</v>
      </c>
      <c r="G17" s="204"/>
      <c r="H17" s="205"/>
      <c r="I17" s="72"/>
      <c r="J17" s="203" t="s">
        <v>216</v>
      </c>
      <c r="K17" s="204"/>
      <c r="L17" s="205"/>
      <c r="N17" s="203" t="s">
        <v>255</v>
      </c>
      <c r="O17" s="204"/>
      <c r="P17" s="205"/>
    </row>
    <row r="18" spans="2:16" ht="15" customHeight="1" x14ac:dyDescent="0.15">
      <c r="B18" s="62" t="s">
        <v>256</v>
      </c>
      <c r="C18" s="73" t="s">
        <v>44</v>
      </c>
      <c r="D18" s="74">
        <v>437.625</v>
      </c>
      <c r="F18" s="62" t="s">
        <v>256</v>
      </c>
      <c r="G18" s="73" t="s">
        <v>44</v>
      </c>
      <c r="H18" s="74">
        <v>437.625</v>
      </c>
      <c r="I18" s="61"/>
      <c r="J18" s="62" t="s">
        <v>256</v>
      </c>
      <c r="K18" s="73" t="s">
        <v>44</v>
      </c>
      <c r="L18" s="74">
        <v>437.625</v>
      </c>
      <c r="N18" s="62" t="s">
        <v>256</v>
      </c>
      <c r="O18" s="73" t="s">
        <v>44</v>
      </c>
      <c r="P18" s="74">
        <v>145.94999999999999</v>
      </c>
    </row>
    <row r="19" spans="2:16" ht="15" customHeight="1" x14ac:dyDescent="0.15">
      <c r="B19" s="215" t="s">
        <v>217</v>
      </c>
      <c r="C19" s="75" t="s">
        <v>287</v>
      </c>
      <c r="D19" s="76">
        <v>0.6</v>
      </c>
      <c r="F19" s="215" t="s">
        <v>217</v>
      </c>
      <c r="G19" s="75" t="s">
        <v>287</v>
      </c>
      <c r="H19" s="76">
        <v>0.6</v>
      </c>
      <c r="I19" s="61"/>
      <c r="J19" s="215" t="s">
        <v>217</v>
      </c>
      <c r="K19" s="75" t="s">
        <v>287</v>
      </c>
      <c r="L19" s="76">
        <v>0.1</v>
      </c>
      <c r="N19" s="215" t="s">
        <v>217</v>
      </c>
      <c r="O19" s="75" t="s">
        <v>287</v>
      </c>
      <c r="P19" s="76">
        <v>50</v>
      </c>
    </row>
    <row r="20" spans="2:16" ht="15" customHeight="1" x14ac:dyDescent="0.15">
      <c r="B20" s="216"/>
      <c r="C20" s="75" t="s">
        <v>288</v>
      </c>
      <c r="D20" s="76">
        <f>10*LOG(D19)</f>
        <v>-2.2184874961635641</v>
      </c>
      <c r="F20" s="216"/>
      <c r="G20" s="75" t="s">
        <v>288</v>
      </c>
      <c r="H20" s="76">
        <f>10*LOG(H19)</f>
        <v>-2.2184874961635641</v>
      </c>
      <c r="I20" s="61"/>
      <c r="J20" s="216"/>
      <c r="K20" s="75" t="s">
        <v>288</v>
      </c>
      <c r="L20" s="76">
        <f>10*LOG(L19)</f>
        <v>-10</v>
      </c>
      <c r="N20" s="216"/>
      <c r="O20" s="75" t="s">
        <v>288</v>
      </c>
      <c r="P20" s="76">
        <f>10*LOG(P19)</f>
        <v>16.989700043360187</v>
      </c>
    </row>
    <row r="21" spans="2:16" ht="15" customHeight="1" x14ac:dyDescent="0.15">
      <c r="B21" s="63" t="s">
        <v>257</v>
      </c>
      <c r="C21" s="64" t="s">
        <v>289</v>
      </c>
      <c r="D21" s="65">
        <v>-2</v>
      </c>
      <c r="F21" s="63" t="s">
        <v>257</v>
      </c>
      <c r="G21" s="64" t="s">
        <v>289</v>
      </c>
      <c r="H21" s="65">
        <v>-2</v>
      </c>
      <c r="I21" s="61"/>
      <c r="J21" s="63" t="s">
        <v>257</v>
      </c>
      <c r="K21" s="64" t="s">
        <v>289</v>
      </c>
      <c r="L21" s="65">
        <v>-2</v>
      </c>
      <c r="N21" s="77" t="s">
        <v>257</v>
      </c>
      <c r="O21" s="75" t="s">
        <v>289</v>
      </c>
      <c r="P21" s="76">
        <v>-2</v>
      </c>
    </row>
    <row r="22" spans="2:16" ht="15" customHeight="1" x14ac:dyDescent="0.15">
      <c r="B22" s="63" t="s">
        <v>258</v>
      </c>
      <c r="C22" s="64" t="s">
        <v>290</v>
      </c>
      <c r="D22" s="65">
        <v>-2</v>
      </c>
      <c r="E22" s="78"/>
      <c r="F22" s="63" t="s">
        <v>258</v>
      </c>
      <c r="G22" s="64" t="s">
        <v>290</v>
      </c>
      <c r="H22" s="65">
        <v>-2</v>
      </c>
      <c r="I22" s="61"/>
      <c r="J22" s="63" t="s">
        <v>258</v>
      </c>
      <c r="K22" s="64" t="s">
        <v>290</v>
      </c>
      <c r="L22" s="65">
        <v>-2</v>
      </c>
      <c r="N22" s="77" t="s">
        <v>258</v>
      </c>
      <c r="O22" s="75" t="s">
        <v>290</v>
      </c>
      <c r="P22" s="76">
        <v>13</v>
      </c>
    </row>
    <row r="23" spans="2:16" ht="15" customHeight="1" x14ac:dyDescent="0.15">
      <c r="B23" s="63" t="s">
        <v>259</v>
      </c>
      <c r="C23" s="64" t="s">
        <v>291</v>
      </c>
      <c r="D23" s="65">
        <f>D20+D21+D22</f>
        <v>-6.2184874961635641</v>
      </c>
      <c r="F23" s="63" t="s">
        <v>259</v>
      </c>
      <c r="G23" s="64" t="s">
        <v>291</v>
      </c>
      <c r="H23" s="65">
        <f>H20+H21+H22</f>
        <v>-6.2184874961635641</v>
      </c>
      <c r="I23" s="61"/>
      <c r="J23" s="63" t="s">
        <v>259</v>
      </c>
      <c r="K23" s="64" t="s">
        <v>291</v>
      </c>
      <c r="L23" s="65">
        <f>L20+L21+L22</f>
        <v>-14</v>
      </c>
      <c r="N23" s="77" t="s">
        <v>259</v>
      </c>
      <c r="O23" s="75" t="s">
        <v>291</v>
      </c>
      <c r="P23" s="76">
        <f>P20+P21+P22</f>
        <v>27.989700043360187</v>
      </c>
    </row>
    <row r="24" spans="2:16" ht="15" customHeight="1" thickBot="1" x14ac:dyDescent="0.2">
      <c r="B24" s="68" t="s">
        <v>260</v>
      </c>
      <c r="C24" s="69" t="s">
        <v>292</v>
      </c>
      <c r="D24" s="79">
        <v>0</v>
      </c>
      <c r="F24" s="68" t="s">
        <v>260</v>
      </c>
      <c r="G24" s="69" t="s">
        <v>292</v>
      </c>
      <c r="H24" s="79">
        <v>0</v>
      </c>
      <c r="I24" s="61"/>
      <c r="J24" s="68" t="s">
        <v>260</v>
      </c>
      <c r="K24" s="69" t="s">
        <v>292</v>
      </c>
      <c r="L24" s="79">
        <v>0</v>
      </c>
      <c r="N24" s="80" t="s">
        <v>260</v>
      </c>
      <c r="O24" s="81" t="s">
        <v>292</v>
      </c>
      <c r="P24" s="82">
        <v>0</v>
      </c>
    </row>
    <row r="25" spans="2:16" ht="15" customHeight="1" thickBot="1" x14ac:dyDescent="0.2">
      <c r="N25" s="83"/>
      <c r="O25" s="83"/>
      <c r="P25" s="83"/>
    </row>
    <row r="26" spans="2:16" ht="15" customHeight="1" thickBot="1" x14ac:dyDescent="0.2">
      <c r="B26" s="203" t="s">
        <v>261</v>
      </c>
      <c r="C26" s="204"/>
      <c r="D26" s="205"/>
      <c r="F26" s="203" t="s">
        <v>261</v>
      </c>
      <c r="G26" s="204"/>
      <c r="H26" s="205"/>
      <c r="I26" s="72"/>
      <c r="J26" s="203" t="s">
        <v>261</v>
      </c>
      <c r="K26" s="204"/>
      <c r="L26" s="205"/>
      <c r="N26" s="206" t="s">
        <v>261</v>
      </c>
      <c r="O26" s="207"/>
      <c r="P26" s="208"/>
    </row>
    <row r="27" spans="2:16" ht="15" customHeight="1" x14ac:dyDescent="0.15">
      <c r="B27" s="62" t="s">
        <v>262</v>
      </c>
      <c r="C27" s="73" t="s">
        <v>293</v>
      </c>
      <c r="D27" s="84">
        <f>-(20*LOG(4*PI()*D18*10^6*D13/(D14*10^-3)))</f>
        <v>-154.15680981864588</v>
      </c>
      <c r="F27" s="62" t="s">
        <v>262</v>
      </c>
      <c r="G27" s="73" t="s">
        <v>293</v>
      </c>
      <c r="H27" s="84">
        <f>-(20*LOG(4*PI()*H18*10^6*H13/(H14*10^-3)))</f>
        <v>-155.46932507285231</v>
      </c>
      <c r="I27" s="85"/>
      <c r="J27" s="62" t="s">
        <v>262</v>
      </c>
      <c r="K27" s="73" t="s">
        <v>293</v>
      </c>
      <c r="L27" s="84">
        <f>-(20*LOG(4*PI()*L18*10^6*L13/(L14*10^-3)))</f>
        <v>-154.15680981864588</v>
      </c>
      <c r="N27" s="86" t="s">
        <v>262</v>
      </c>
      <c r="O27" s="87" t="s">
        <v>293</v>
      </c>
      <c r="P27" s="88">
        <f>-(20*LOG(4*PI()*P18*10^6*P13/(P14*10^-3)))</f>
        <v>-144.61884932966478</v>
      </c>
    </row>
    <row r="28" spans="2:16" ht="15" customHeight="1" x14ac:dyDescent="0.15">
      <c r="B28" s="63" t="s">
        <v>263</v>
      </c>
      <c r="C28" s="64" t="s">
        <v>294</v>
      </c>
      <c r="D28" s="65">
        <v>-3</v>
      </c>
      <c r="F28" s="63" t="s">
        <v>263</v>
      </c>
      <c r="G28" s="64" t="s">
        <v>294</v>
      </c>
      <c r="H28" s="65">
        <v>-3</v>
      </c>
      <c r="I28" s="61"/>
      <c r="J28" s="63" t="s">
        <v>263</v>
      </c>
      <c r="K28" s="64" t="s">
        <v>294</v>
      </c>
      <c r="L28" s="65">
        <v>-3</v>
      </c>
      <c r="N28" s="77" t="s">
        <v>263</v>
      </c>
      <c r="O28" s="75" t="s">
        <v>294</v>
      </c>
      <c r="P28" s="76">
        <v>-3</v>
      </c>
    </row>
    <row r="29" spans="2:16" ht="15" customHeight="1" x14ac:dyDescent="0.15">
      <c r="B29" s="63" t="s">
        <v>264</v>
      </c>
      <c r="C29" s="64" t="s">
        <v>295</v>
      </c>
      <c r="D29" s="65">
        <v>0</v>
      </c>
      <c r="F29" s="63" t="s">
        <v>264</v>
      </c>
      <c r="G29" s="64" t="s">
        <v>295</v>
      </c>
      <c r="H29" s="65">
        <v>0</v>
      </c>
      <c r="I29" s="61"/>
      <c r="J29" s="63" t="s">
        <v>264</v>
      </c>
      <c r="K29" s="64" t="s">
        <v>295</v>
      </c>
      <c r="L29" s="65">
        <v>0</v>
      </c>
      <c r="N29" s="77" t="s">
        <v>264</v>
      </c>
      <c r="O29" s="75" t="s">
        <v>295</v>
      </c>
      <c r="P29" s="76">
        <v>0</v>
      </c>
    </row>
    <row r="30" spans="2:16" ht="15" customHeight="1" x14ac:dyDescent="0.15">
      <c r="B30" s="63" t="s">
        <v>265</v>
      </c>
      <c r="C30" s="64" t="s">
        <v>296</v>
      </c>
      <c r="D30" s="65">
        <v>0</v>
      </c>
      <c r="F30" s="63" t="s">
        <v>265</v>
      </c>
      <c r="G30" s="64" t="s">
        <v>296</v>
      </c>
      <c r="H30" s="65">
        <v>0</v>
      </c>
      <c r="I30" s="61"/>
      <c r="J30" s="63" t="s">
        <v>265</v>
      </c>
      <c r="K30" s="64" t="s">
        <v>296</v>
      </c>
      <c r="L30" s="65">
        <v>0</v>
      </c>
      <c r="N30" s="77" t="s">
        <v>265</v>
      </c>
      <c r="O30" s="75" t="s">
        <v>296</v>
      </c>
      <c r="P30" s="76">
        <v>0</v>
      </c>
    </row>
    <row r="31" spans="2:16" ht="15" customHeight="1" x14ac:dyDescent="0.15">
      <c r="B31" s="63" t="s">
        <v>266</v>
      </c>
      <c r="C31" s="64" t="s">
        <v>297</v>
      </c>
      <c r="D31" s="65">
        <v>0</v>
      </c>
      <c r="F31" s="63" t="s">
        <v>266</v>
      </c>
      <c r="G31" s="64" t="s">
        <v>297</v>
      </c>
      <c r="H31" s="65">
        <v>0</v>
      </c>
      <c r="I31" s="61"/>
      <c r="J31" s="63" t="s">
        <v>266</v>
      </c>
      <c r="K31" s="64" t="s">
        <v>297</v>
      </c>
      <c r="L31" s="65">
        <v>0</v>
      </c>
      <c r="N31" s="77" t="s">
        <v>266</v>
      </c>
      <c r="O31" s="75" t="s">
        <v>297</v>
      </c>
      <c r="P31" s="76">
        <v>0</v>
      </c>
    </row>
    <row r="32" spans="2:16" ht="15" customHeight="1" thickBot="1" x14ac:dyDescent="0.2">
      <c r="B32" s="68" t="s">
        <v>267</v>
      </c>
      <c r="C32" s="69" t="s">
        <v>298</v>
      </c>
      <c r="D32" s="79">
        <f>D27+D28+D29+D30+D31</f>
        <v>-157.15680981864588</v>
      </c>
      <c r="F32" s="68" t="s">
        <v>267</v>
      </c>
      <c r="G32" s="69" t="s">
        <v>298</v>
      </c>
      <c r="H32" s="79">
        <f>H27+H28+H29+H30+H31</f>
        <v>-158.46932507285231</v>
      </c>
      <c r="I32" s="61"/>
      <c r="J32" s="68" t="s">
        <v>267</v>
      </c>
      <c r="K32" s="69" t="s">
        <v>298</v>
      </c>
      <c r="L32" s="79">
        <f>L27+L28+L29+L30+L31</f>
        <v>-157.15680981864588</v>
      </c>
      <c r="N32" s="80" t="s">
        <v>267</v>
      </c>
      <c r="O32" s="81" t="s">
        <v>298</v>
      </c>
      <c r="P32" s="82">
        <f>P27+P28+P29+P30+P31</f>
        <v>-147.61884932966478</v>
      </c>
    </row>
    <row r="33" spans="2:16" ht="15" customHeight="1" thickBot="1" x14ac:dyDescent="0.2">
      <c r="N33" s="83"/>
      <c r="O33" s="83"/>
      <c r="P33" s="83"/>
    </row>
    <row r="34" spans="2:16" ht="15" customHeight="1" thickBot="1" x14ac:dyDescent="0.2">
      <c r="B34" s="203" t="s">
        <v>255</v>
      </c>
      <c r="C34" s="204"/>
      <c r="D34" s="205"/>
      <c r="F34" s="203" t="s">
        <v>255</v>
      </c>
      <c r="G34" s="204"/>
      <c r="H34" s="205"/>
      <c r="I34" s="72"/>
      <c r="J34" s="203" t="s">
        <v>255</v>
      </c>
      <c r="K34" s="204"/>
      <c r="L34" s="205"/>
      <c r="N34" s="206" t="s">
        <v>216</v>
      </c>
      <c r="O34" s="207"/>
      <c r="P34" s="208"/>
    </row>
    <row r="35" spans="2:16" ht="15" customHeight="1" x14ac:dyDescent="0.15">
      <c r="B35" s="89" t="s">
        <v>268</v>
      </c>
      <c r="C35" s="213" t="s">
        <v>240</v>
      </c>
      <c r="D35" s="214"/>
      <c r="F35" s="89" t="s">
        <v>268</v>
      </c>
      <c r="G35" s="213" t="s">
        <v>240</v>
      </c>
      <c r="H35" s="214"/>
      <c r="I35" s="72"/>
      <c r="J35" s="89" t="s">
        <v>268</v>
      </c>
      <c r="K35" s="213" t="s">
        <v>240</v>
      </c>
      <c r="L35" s="214"/>
      <c r="N35" s="90" t="s">
        <v>209</v>
      </c>
      <c r="O35" s="209" t="s">
        <v>251</v>
      </c>
      <c r="P35" s="210"/>
    </row>
    <row r="36" spans="2:16" ht="15" customHeight="1" x14ac:dyDescent="0.15">
      <c r="B36" s="63" t="s">
        <v>269</v>
      </c>
      <c r="C36" s="64" t="s">
        <v>299</v>
      </c>
      <c r="D36" s="65">
        <v>0</v>
      </c>
      <c r="F36" s="63" t="s">
        <v>269</v>
      </c>
      <c r="G36" s="64" t="s">
        <v>299</v>
      </c>
      <c r="H36" s="65">
        <v>0</v>
      </c>
      <c r="I36" s="61"/>
      <c r="J36" s="63" t="s">
        <v>269</v>
      </c>
      <c r="K36" s="64" t="s">
        <v>299</v>
      </c>
      <c r="L36" s="65">
        <v>0</v>
      </c>
      <c r="N36" s="77" t="s">
        <v>269</v>
      </c>
      <c r="O36" s="75" t="s">
        <v>299</v>
      </c>
      <c r="P36" s="76">
        <v>0</v>
      </c>
    </row>
    <row r="37" spans="2:16" ht="15" customHeight="1" x14ac:dyDescent="0.15">
      <c r="B37" s="77" t="s">
        <v>270</v>
      </c>
      <c r="C37" s="75" t="s">
        <v>300</v>
      </c>
      <c r="D37" s="76">
        <v>18.5</v>
      </c>
      <c r="F37" s="77" t="s">
        <v>270</v>
      </c>
      <c r="G37" s="75" t="s">
        <v>300</v>
      </c>
      <c r="H37" s="76">
        <v>18.5</v>
      </c>
      <c r="I37" s="61"/>
      <c r="J37" s="77" t="s">
        <v>270</v>
      </c>
      <c r="K37" s="75" t="s">
        <v>300</v>
      </c>
      <c r="L37" s="76">
        <v>18.5</v>
      </c>
      <c r="N37" s="77" t="s">
        <v>270</v>
      </c>
      <c r="O37" s="75" t="s">
        <v>300</v>
      </c>
      <c r="P37" s="76">
        <v>0</v>
      </c>
    </row>
    <row r="38" spans="2:16" ht="15" customHeight="1" x14ac:dyDescent="0.15">
      <c r="B38" s="201" t="s">
        <v>325</v>
      </c>
      <c r="C38" s="64" t="s">
        <v>301</v>
      </c>
      <c r="D38" s="65">
        <v>-2</v>
      </c>
      <c r="F38" s="201" t="s">
        <v>325</v>
      </c>
      <c r="G38" s="64" t="s">
        <v>301</v>
      </c>
      <c r="H38" s="65">
        <v>-2</v>
      </c>
      <c r="I38" s="61"/>
      <c r="J38" s="201" t="s">
        <v>325</v>
      </c>
      <c r="K38" s="64" t="s">
        <v>301</v>
      </c>
      <c r="L38" s="65">
        <v>-2</v>
      </c>
      <c r="N38" s="215" t="s">
        <v>328</v>
      </c>
      <c r="O38" s="75" t="s">
        <v>301</v>
      </c>
      <c r="P38" s="76">
        <v>-2</v>
      </c>
    </row>
    <row r="39" spans="2:16" ht="15" customHeight="1" x14ac:dyDescent="0.15">
      <c r="B39" s="202"/>
      <c r="C39" s="64" t="s">
        <v>271</v>
      </c>
      <c r="D39" s="65">
        <f>10^(-D38/10)</f>
        <v>1.5848931924611136</v>
      </c>
      <c r="F39" s="202"/>
      <c r="G39" s="64" t="s">
        <v>271</v>
      </c>
      <c r="H39" s="65">
        <f>10^(-H38/10)</f>
        <v>1.5848931924611136</v>
      </c>
      <c r="I39" s="61"/>
      <c r="J39" s="202"/>
      <c r="K39" s="64" t="s">
        <v>271</v>
      </c>
      <c r="L39" s="65">
        <f>10^(-L38/10)</f>
        <v>1.5848931924611136</v>
      </c>
      <c r="N39" s="216"/>
      <c r="O39" s="75" t="s">
        <v>271</v>
      </c>
      <c r="P39" s="76">
        <f>10^(-P38/10)</f>
        <v>1.5848931924611136</v>
      </c>
    </row>
    <row r="40" spans="2:16" ht="15" customHeight="1" x14ac:dyDescent="0.15">
      <c r="B40" s="63" t="s">
        <v>218</v>
      </c>
      <c r="C40" s="64" t="s">
        <v>59</v>
      </c>
      <c r="D40" s="65">
        <f>D23-D24+D32-D36+D37+D38</f>
        <v>-146.87529731480944</v>
      </c>
      <c r="F40" s="63" t="s">
        <v>218</v>
      </c>
      <c r="G40" s="64" t="s">
        <v>59</v>
      </c>
      <c r="H40" s="65">
        <f>H23-H24+H32-H36+H37+H38</f>
        <v>-148.18781256901588</v>
      </c>
      <c r="I40" s="61"/>
      <c r="J40" s="63" t="s">
        <v>218</v>
      </c>
      <c r="K40" s="64" t="s">
        <v>59</v>
      </c>
      <c r="L40" s="65">
        <f>L23-L24+L32-L36+L37+L38</f>
        <v>-154.65680981864588</v>
      </c>
      <c r="N40" s="77" t="s">
        <v>218</v>
      </c>
      <c r="O40" s="75" t="s">
        <v>59</v>
      </c>
      <c r="P40" s="76">
        <f>P23-P24+P32-P36+P37+P38</f>
        <v>-121.6291492863046</v>
      </c>
    </row>
    <row r="41" spans="2:16" ht="15" customHeight="1" x14ac:dyDescent="0.15">
      <c r="B41" s="63" t="s">
        <v>272</v>
      </c>
      <c r="C41" s="64" t="s">
        <v>302</v>
      </c>
      <c r="D41" s="65">
        <v>300</v>
      </c>
      <c r="F41" s="63" t="s">
        <v>272</v>
      </c>
      <c r="G41" s="64" t="s">
        <v>302</v>
      </c>
      <c r="H41" s="65">
        <v>300</v>
      </c>
      <c r="I41" s="61"/>
      <c r="J41" s="63" t="s">
        <v>272</v>
      </c>
      <c r="K41" s="64" t="s">
        <v>302</v>
      </c>
      <c r="L41" s="65">
        <v>300</v>
      </c>
      <c r="N41" s="77" t="s">
        <v>272</v>
      </c>
      <c r="O41" s="75" t="s">
        <v>302</v>
      </c>
      <c r="P41" s="76">
        <v>300</v>
      </c>
    </row>
    <row r="42" spans="2:16" ht="15" customHeight="1" x14ac:dyDescent="0.15">
      <c r="B42" s="63" t="s">
        <v>273</v>
      </c>
      <c r="C42" s="64" t="s">
        <v>324</v>
      </c>
      <c r="D42" s="65">
        <f>D44</f>
        <v>300</v>
      </c>
      <c r="E42" s="91" t="s">
        <v>274</v>
      </c>
      <c r="F42" s="63" t="s">
        <v>273</v>
      </c>
      <c r="G42" s="64" t="s">
        <v>324</v>
      </c>
      <c r="H42" s="65">
        <f>H44</f>
        <v>300</v>
      </c>
      <c r="I42" s="61"/>
      <c r="J42" s="63" t="s">
        <v>273</v>
      </c>
      <c r="K42" s="64" t="s">
        <v>324</v>
      </c>
      <c r="L42" s="65">
        <f>L44</f>
        <v>300</v>
      </c>
      <c r="N42" s="77" t="s">
        <v>273</v>
      </c>
      <c r="O42" s="64" t="s">
        <v>324</v>
      </c>
      <c r="P42" s="76">
        <f>P44</f>
        <v>300</v>
      </c>
    </row>
    <row r="43" spans="2:16" ht="15" customHeight="1" x14ac:dyDescent="0.15">
      <c r="B43" s="63" t="s">
        <v>227</v>
      </c>
      <c r="C43" s="64" t="s">
        <v>303</v>
      </c>
      <c r="D43" s="65">
        <v>300</v>
      </c>
      <c r="F43" s="63" t="s">
        <v>227</v>
      </c>
      <c r="G43" s="64" t="s">
        <v>303</v>
      </c>
      <c r="H43" s="65">
        <v>300</v>
      </c>
      <c r="I43" s="61"/>
      <c r="J43" s="63" t="s">
        <v>227</v>
      </c>
      <c r="K43" s="64" t="s">
        <v>303</v>
      </c>
      <c r="L43" s="65">
        <v>300</v>
      </c>
      <c r="N43" s="77" t="s">
        <v>227</v>
      </c>
      <c r="O43" s="75" t="s">
        <v>303</v>
      </c>
      <c r="P43" s="76">
        <v>300</v>
      </c>
    </row>
    <row r="44" spans="2:16" ht="15" customHeight="1" x14ac:dyDescent="0.15">
      <c r="B44" s="63" t="s">
        <v>275</v>
      </c>
      <c r="C44" s="64" t="s">
        <v>304</v>
      </c>
      <c r="D44" s="65">
        <v>300</v>
      </c>
      <c r="E44" s="91" t="s">
        <v>274</v>
      </c>
      <c r="F44" s="63" t="s">
        <v>275</v>
      </c>
      <c r="G44" s="64" t="s">
        <v>304</v>
      </c>
      <c r="H44" s="65">
        <v>300</v>
      </c>
      <c r="I44" s="61"/>
      <c r="J44" s="63" t="s">
        <v>275</v>
      </c>
      <c r="K44" s="64" t="s">
        <v>304</v>
      </c>
      <c r="L44" s="65">
        <v>300</v>
      </c>
      <c r="N44" s="77" t="s">
        <v>238</v>
      </c>
      <c r="O44" s="75" t="s">
        <v>304</v>
      </c>
      <c r="P44" s="76">
        <v>300</v>
      </c>
    </row>
    <row r="45" spans="2:16" ht="15" customHeight="1" x14ac:dyDescent="0.15">
      <c r="B45" s="201" t="s">
        <v>219</v>
      </c>
      <c r="C45" s="64" t="s">
        <v>66</v>
      </c>
      <c r="D45" s="65">
        <f>D43/D44+1</f>
        <v>2</v>
      </c>
      <c r="F45" s="201" t="s">
        <v>219</v>
      </c>
      <c r="G45" s="64" t="s">
        <v>66</v>
      </c>
      <c r="H45" s="65">
        <f>H43/H44+1</f>
        <v>2</v>
      </c>
      <c r="I45" s="61"/>
      <c r="J45" s="201" t="s">
        <v>219</v>
      </c>
      <c r="K45" s="64" t="s">
        <v>66</v>
      </c>
      <c r="L45" s="65">
        <f>L43/L44+1</f>
        <v>2</v>
      </c>
      <c r="N45" s="215" t="s">
        <v>219</v>
      </c>
      <c r="O45" s="75" t="s">
        <v>66</v>
      </c>
      <c r="P45" s="76">
        <v>5</v>
      </c>
    </row>
    <row r="46" spans="2:16" ht="15" customHeight="1" x14ac:dyDescent="0.15">
      <c r="B46" s="202"/>
      <c r="C46" s="64" t="s">
        <v>65</v>
      </c>
      <c r="D46" s="65">
        <f>10*LOG(D45)</f>
        <v>3.0102999566398121</v>
      </c>
      <c r="F46" s="202"/>
      <c r="G46" s="64" t="s">
        <v>65</v>
      </c>
      <c r="H46" s="65">
        <f>10*LOG(H45)</f>
        <v>3.0102999566398121</v>
      </c>
      <c r="I46" s="61"/>
      <c r="J46" s="202"/>
      <c r="K46" s="64" t="s">
        <v>65</v>
      </c>
      <c r="L46" s="65">
        <f>10*LOG(L45)</f>
        <v>3.0102999566398121</v>
      </c>
      <c r="N46" s="216"/>
      <c r="O46" s="75" t="s">
        <v>65</v>
      </c>
      <c r="P46" s="76">
        <f>10*LOG(P45)</f>
        <v>6.9897000433601884</v>
      </c>
    </row>
    <row r="47" spans="2:16" ht="15" customHeight="1" x14ac:dyDescent="0.15">
      <c r="B47" s="63" t="s">
        <v>235</v>
      </c>
      <c r="C47" s="64" t="s">
        <v>305</v>
      </c>
      <c r="D47" s="65">
        <f>10*LOG(D41/D39+(1-(1/D39))*D42+(D45-1)*D44)</f>
        <v>27.781512503836435</v>
      </c>
      <c r="E47" s="91" t="s">
        <v>274</v>
      </c>
      <c r="F47" s="63" t="s">
        <v>235</v>
      </c>
      <c r="G47" s="64" t="s">
        <v>305</v>
      </c>
      <c r="H47" s="65">
        <f>10*LOG(H41/H39+(1-(1/H39))*H42+(H45-1)*H44)</f>
        <v>27.781512503836435</v>
      </c>
      <c r="I47" s="61"/>
      <c r="J47" s="63" t="s">
        <v>235</v>
      </c>
      <c r="K47" s="64" t="s">
        <v>305</v>
      </c>
      <c r="L47" s="65">
        <f>10*LOG(L41/L39+(1-(1/L39))*L42+(L45-1)*L44)</f>
        <v>27.781512503836435</v>
      </c>
      <c r="N47" s="77" t="s">
        <v>236</v>
      </c>
      <c r="O47" s="75" t="s">
        <v>305</v>
      </c>
      <c r="P47" s="76">
        <f>10*LOG(P41/P39+(1-(1/P39))*P42+(P45-1)*P44)</f>
        <v>31.760912590556813</v>
      </c>
    </row>
    <row r="48" spans="2:16" ht="15" customHeight="1" x14ac:dyDescent="0.15">
      <c r="B48" s="63" t="s">
        <v>220</v>
      </c>
      <c r="C48" s="64" t="s">
        <v>306</v>
      </c>
      <c r="D48" s="65">
        <v>300</v>
      </c>
      <c r="E48" s="91" t="s">
        <v>274</v>
      </c>
      <c r="F48" s="63" t="s">
        <v>220</v>
      </c>
      <c r="G48" s="64" t="s">
        <v>306</v>
      </c>
      <c r="H48" s="65">
        <v>300</v>
      </c>
      <c r="I48" s="61"/>
      <c r="J48" s="63" t="s">
        <v>220</v>
      </c>
      <c r="K48" s="64" t="s">
        <v>306</v>
      </c>
      <c r="L48" s="65">
        <v>300</v>
      </c>
      <c r="N48" s="77" t="s">
        <v>220</v>
      </c>
      <c r="O48" s="75" t="s">
        <v>306</v>
      </c>
      <c r="P48" s="76">
        <v>300</v>
      </c>
    </row>
    <row r="49" spans="2:16" ht="15" customHeight="1" x14ac:dyDescent="0.15">
      <c r="B49" s="63" t="s">
        <v>221</v>
      </c>
      <c r="C49" s="64" t="s">
        <v>307</v>
      </c>
      <c r="D49" s="65">
        <f>1.12*D48-50</f>
        <v>286.00000000000006</v>
      </c>
      <c r="F49" s="63" t="s">
        <v>221</v>
      </c>
      <c r="G49" s="64" t="s">
        <v>307</v>
      </c>
      <c r="H49" s="65">
        <f>1.12*H48-50</f>
        <v>286.00000000000006</v>
      </c>
      <c r="I49" s="61"/>
      <c r="J49" s="63" t="s">
        <v>221</v>
      </c>
      <c r="K49" s="64" t="s">
        <v>307</v>
      </c>
      <c r="L49" s="65">
        <f>1.12*L48-50</f>
        <v>286.00000000000006</v>
      </c>
      <c r="N49" s="77" t="s">
        <v>221</v>
      </c>
      <c r="O49" s="75" t="s">
        <v>307</v>
      </c>
      <c r="P49" s="76">
        <f>1.12*P48-50</f>
        <v>286.00000000000006</v>
      </c>
    </row>
    <row r="50" spans="2:16" ht="15" customHeight="1" x14ac:dyDescent="0.15">
      <c r="B50" s="63" t="s">
        <v>276</v>
      </c>
      <c r="C50" s="64" t="s">
        <v>308</v>
      </c>
      <c r="D50" s="65">
        <f>D49*(1-10^(-D29/10))</f>
        <v>0</v>
      </c>
      <c r="F50" s="63" t="s">
        <v>276</v>
      </c>
      <c r="G50" s="64" t="s">
        <v>308</v>
      </c>
      <c r="H50" s="65">
        <f>H49*(1-10^(-H29/10))</f>
        <v>0</v>
      </c>
      <c r="I50" s="61"/>
      <c r="J50" s="63" t="s">
        <v>276</v>
      </c>
      <c r="K50" s="64" t="s">
        <v>308</v>
      </c>
      <c r="L50" s="65">
        <f>L49*(1-10^(-L29/10))</f>
        <v>0</v>
      </c>
      <c r="N50" s="77" t="s">
        <v>276</v>
      </c>
      <c r="O50" s="75" t="s">
        <v>308</v>
      </c>
      <c r="P50" s="76">
        <f>P49*(1-10^(-P29/10))</f>
        <v>0</v>
      </c>
    </row>
    <row r="51" spans="2:16" ht="15" customHeight="1" x14ac:dyDescent="0.15">
      <c r="B51" s="63" t="s">
        <v>222</v>
      </c>
      <c r="C51" s="64" t="s">
        <v>277</v>
      </c>
      <c r="D51" s="65">
        <v>5</v>
      </c>
      <c r="F51" s="63" t="s">
        <v>222</v>
      </c>
      <c r="G51" s="64" t="s">
        <v>277</v>
      </c>
      <c r="H51" s="65">
        <v>5</v>
      </c>
      <c r="I51" s="61"/>
      <c r="J51" s="63" t="s">
        <v>222</v>
      </c>
      <c r="K51" s="64" t="s">
        <v>277</v>
      </c>
      <c r="L51" s="65">
        <v>5</v>
      </c>
      <c r="N51" s="77" t="s">
        <v>222</v>
      </c>
      <c r="O51" s="75" t="s">
        <v>277</v>
      </c>
      <c r="P51" s="76">
        <v>5</v>
      </c>
    </row>
    <row r="52" spans="2:16" ht="15" customHeight="1" x14ac:dyDescent="0.15">
      <c r="B52" s="201" t="s">
        <v>223</v>
      </c>
      <c r="C52" s="64" t="s">
        <v>278</v>
      </c>
      <c r="D52" s="92">
        <f>D15*D47*D51</f>
        <v>1.9169243627647141E-21</v>
      </c>
      <c r="F52" s="201" t="s">
        <v>223</v>
      </c>
      <c r="G52" s="64" t="s">
        <v>278</v>
      </c>
      <c r="H52" s="93">
        <f>H15*H47*H51</f>
        <v>1.9169243627647141E-21</v>
      </c>
      <c r="I52" s="85"/>
      <c r="J52" s="201" t="s">
        <v>223</v>
      </c>
      <c r="K52" s="64" t="s">
        <v>278</v>
      </c>
      <c r="L52" s="93">
        <f>L15*L47*L51</f>
        <v>1.9169243627647141E-21</v>
      </c>
      <c r="N52" s="215" t="s">
        <v>223</v>
      </c>
      <c r="O52" s="75" t="s">
        <v>278</v>
      </c>
      <c r="P52" s="94">
        <f>P15*P47*P51</f>
        <v>2.19150296874842E-21</v>
      </c>
    </row>
    <row r="53" spans="2:16" ht="15" customHeight="1" x14ac:dyDescent="0.15">
      <c r="B53" s="202"/>
      <c r="C53" s="64" t="s">
        <v>279</v>
      </c>
      <c r="D53" s="93">
        <f>10*LOG(D52)</f>
        <v>-207.17395023001941</v>
      </c>
      <c r="F53" s="202"/>
      <c r="G53" s="64" t="s">
        <v>279</v>
      </c>
      <c r="H53" s="93">
        <f>10*LOG(H52)</f>
        <v>-207.17395023001941</v>
      </c>
      <c r="I53" s="85"/>
      <c r="J53" s="202"/>
      <c r="K53" s="64" t="s">
        <v>279</v>
      </c>
      <c r="L53" s="93">
        <f>10*LOG(L52)</f>
        <v>-207.17395023001941</v>
      </c>
      <c r="N53" s="216"/>
      <c r="O53" s="75" t="s">
        <v>279</v>
      </c>
      <c r="P53" s="94">
        <f>10*LOG(P52)</f>
        <v>-206.5925793668687</v>
      </c>
    </row>
    <row r="54" spans="2:16" ht="15" customHeight="1" x14ac:dyDescent="0.15">
      <c r="B54" s="63" t="s">
        <v>224</v>
      </c>
      <c r="C54" s="64" t="s">
        <v>309</v>
      </c>
      <c r="D54" s="93">
        <f>10*LOG(D15)+D47</f>
        <v>-200.81969663215119</v>
      </c>
      <c r="F54" s="63" t="s">
        <v>224</v>
      </c>
      <c r="G54" s="64" t="s">
        <v>309</v>
      </c>
      <c r="H54" s="93">
        <f>10*LOG(H15)+H47</f>
        <v>-200.81969663215119</v>
      </c>
      <c r="I54" s="85"/>
      <c r="J54" s="63" t="s">
        <v>224</v>
      </c>
      <c r="K54" s="64" t="s">
        <v>309</v>
      </c>
      <c r="L54" s="93">
        <f>10*LOG(L15)+L47</f>
        <v>-200.81969663215119</v>
      </c>
      <c r="N54" s="77" t="s">
        <v>224</v>
      </c>
      <c r="O54" s="75" t="s">
        <v>309</v>
      </c>
      <c r="P54" s="94">
        <f>10*LOG(P15)+P47</f>
        <v>-196.84029654543082</v>
      </c>
    </row>
    <row r="55" spans="2:16" ht="15" customHeight="1" x14ac:dyDescent="0.15">
      <c r="B55" s="95" t="s">
        <v>225</v>
      </c>
      <c r="C55" s="96" t="s">
        <v>280</v>
      </c>
      <c r="D55" s="97">
        <f>D37+D38</f>
        <v>16.5</v>
      </c>
      <c r="F55" s="95" t="s">
        <v>225</v>
      </c>
      <c r="G55" s="96" t="s">
        <v>280</v>
      </c>
      <c r="H55" s="97">
        <f>H37+H38</f>
        <v>16.5</v>
      </c>
      <c r="I55" s="85"/>
      <c r="J55" s="95" t="s">
        <v>225</v>
      </c>
      <c r="K55" s="96" t="s">
        <v>280</v>
      </c>
      <c r="L55" s="97">
        <f>L37+L38</f>
        <v>16.5</v>
      </c>
      <c r="N55" s="98" t="s">
        <v>225</v>
      </c>
      <c r="O55" s="99" t="s">
        <v>280</v>
      </c>
      <c r="P55" s="100">
        <f>P37+P38</f>
        <v>-2</v>
      </c>
    </row>
    <row r="56" spans="2:16" ht="15" customHeight="1" thickBot="1" x14ac:dyDescent="0.2">
      <c r="B56" s="68" t="s">
        <v>226</v>
      </c>
      <c r="C56" s="69" t="s">
        <v>281</v>
      </c>
      <c r="D56" s="79">
        <f>D37+D38-D47</f>
        <v>-11.281512503836435</v>
      </c>
      <c r="F56" s="68" t="s">
        <v>226</v>
      </c>
      <c r="G56" s="69" t="s">
        <v>281</v>
      </c>
      <c r="H56" s="79">
        <f>H37+H38-H47</f>
        <v>-11.281512503836435</v>
      </c>
      <c r="I56" s="61"/>
      <c r="J56" s="68" t="s">
        <v>226</v>
      </c>
      <c r="K56" s="69" t="s">
        <v>281</v>
      </c>
      <c r="L56" s="79">
        <f>L37+L38-L47</f>
        <v>-11.281512503836435</v>
      </c>
      <c r="N56" s="80" t="s">
        <v>226</v>
      </c>
      <c r="O56" s="81" t="s">
        <v>281</v>
      </c>
      <c r="P56" s="82">
        <f>P37+P38-P47</f>
        <v>-33.760912590556813</v>
      </c>
    </row>
    <row r="57" spans="2:16" ht="15" customHeight="1" thickBot="1" x14ac:dyDescent="0.2">
      <c r="N57" s="83"/>
      <c r="O57" s="83"/>
      <c r="P57" s="83"/>
    </row>
    <row r="58" spans="2:16" ht="15" customHeight="1" x14ac:dyDescent="0.15">
      <c r="B58" s="60" t="s">
        <v>282</v>
      </c>
      <c r="C58" s="101" t="s">
        <v>310</v>
      </c>
      <c r="D58" s="102">
        <v>-6</v>
      </c>
      <c r="F58" s="60" t="s">
        <v>282</v>
      </c>
      <c r="G58" s="101" t="s">
        <v>310</v>
      </c>
      <c r="H58" s="102">
        <v>-6</v>
      </c>
      <c r="I58" s="61"/>
      <c r="J58" s="60" t="s">
        <v>282</v>
      </c>
      <c r="K58" s="101" t="s">
        <v>310</v>
      </c>
      <c r="L58" s="102">
        <v>0</v>
      </c>
      <c r="N58" s="103" t="s">
        <v>282</v>
      </c>
      <c r="O58" s="104" t="s">
        <v>310</v>
      </c>
      <c r="P58" s="105">
        <v>-6</v>
      </c>
    </row>
    <row r="59" spans="2:16" ht="15" customHeight="1" x14ac:dyDescent="0.15">
      <c r="B59" s="63" t="s">
        <v>228</v>
      </c>
      <c r="C59" s="64" t="s">
        <v>311</v>
      </c>
      <c r="D59" s="65">
        <v>-1</v>
      </c>
      <c r="F59" s="63" t="s">
        <v>228</v>
      </c>
      <c r="G59" s="64" t="s">
        <v>311</v>
      </c>
      <c r="H59" s="65">
        <v>-1</v>
      </c>
      <c r="I59" s="61"/>
      <c r="J59" s="63" t="s">
        <v>228</v>
      </c>
      <c r="K59" s="64" t="s">
        <v>311</v>
      </c>
      <c r="L59" s="65">
        <v>-1</v>
      </c>
      <c r="N59" s="77" t="s">
        <v>228</v>
      </c>
      <c r="O59" s="75" t="s">
        <v>311</v>
      </c>
      <c r="P59" s="76">
        <v>-1</v>
      </c>
    </row>
    <row r="60" spans="2:16" ht="15" customHeight="1" x14ac:dyDescent="0.15">
      <c r="B60" s="77" t="s">
        <v>283</v>
      </c>
      <c r="C60" s="75" t="s">
        <v>312</v>
      </c>
      <c r="D60" s="76">
        <f>D58+D59</f>
        <v>-7</v>
      </c>
      <c r="F60" s="77" t="s">
        <v>283</v>
      </c>
      <c r="G60" s="75" t="s">
        <v>312</v>
      </c>
      <c r="H60" s="76">
        <f>H58+H59</f>
        <v>-7</v>
      </c>
      <c r="I60" s="106"/>
      <c r="J60" s="77" t="s">
        <v>283</v>
      </c>
      <c r="K60" s="75" t="s">
        <v>312</v>
      </c>
      <c r="L60" s="76">
        <f>L58+L59</f>
        <v>-1</v>
      </c>
      <c r="N60" s="77" t="s">
        <v>283</v>
      </c>
      <c r="O60" s="75" t="s">
        <v>312</v>
      </c>
      <c r="P60" s="76">
        <f>P58+P59</f>
        <v>-7</v>
      </c>
    </row>
    <row r="61" spans="2:16" ht="15" customHeight="1" x14ac:dyDescent="0.15">
      <c r="B61" s="215" t="s">
        <v>229</v>
      </c>
      <c r="C61" s="75" t="s">
        <v>313</v>
      </c>
      <c r="D61" s="76">
        <v>1200</v>
      </c>
      <c r="F61" s="215" t="s">
        <v>229</v>
      </c>
      <c r="G61" s="75" t="s">
        <v>313</v>
      </c>
      <c r="H61" s="76">
        <v>9600</v>
      </c>
      <c r="I61" s="106"/>
      <c r="J61" s="215" t="s">
        <v>229</v>
      </c>
      <c r="K61" s="75" t="s">
        <v>313</v>
      </c>
      <c r="L61" s="76">
        <v>1200</v>
      </c>
      <c r="N61" s="215" t="s">
        <v>229</v>
      </c>
      <c r="O61" s="75" t="s">
        <v>313</v>
      </c>
      <c r="P61" s="76">
        <v>1200</v>
      </c>
    </row>
    <row r="62" spans="2:16" ht="15" customHeight="1" x14ac:dyDescent="0.15">
      <c r="B62" s="216"/>
      <c r="C62" s="75" t="s">
        <v>314</v>
      </c>
      <c r="D62" s="76">
        <f>10*LOG(D61)</f>
        <v>30.791812460476248</v>
      </c>
      <c r="F62" s="216"/>
      <c r="G62" s="75" t="s">
        <v>314</v>
      </c>
      <c r="H62" s="76">
        <f>10*LOG(H61)</f>
        <v>39.822712330395682</v>
      </c>
      <c r="I62" s="106"/>
      <c r="J62" s="216"/>
      <c r="K62" s="75" t="s">
        <v>314</v>
      </c>
      <c r="L62" s="76">
        <f>10*LOG(L61)</f>
        <v>30.791812460476248</v>
      </c>
      <c r="N62" s="216"/>
      <c r="O62" s="75" t="s">
        <v>314</v>
      </c>
      <c r="P62" s="76">
        <f>10*LOG(P61)</f>
        <v>30.791812460476248</v>
      </c>
    </row>
    <row r="63" spans="2:16" ht="15" customHeight="1" x14ac:dyDescent="0.15">
      <c r="B63" s="63" t="s">
        <v>230</v>
      </c>
      <c r="C63" s="64" t="s">
        <v>315</v>
      </c>
      <c r="D63" s="65">
        <f>10^-6</f>
        <v>9.9999999999999995E-7</v>
      </c>
      <c r="F63" s="63" t="s">
        <v>230</v>
      </c>
      <c r="G63" s="64" t="s">
        <v>315</v>
      </c>
      <c r="H63" s="65">
        <f>10^-6</f>
        <v>9.9999999999999995E-7</v>
      </c>
      <c r="I63" s="106"/>
      <c r="J63" s="63" t="s">
        <v>230</v>
      </c>
      <c r="K63" s="64" t="s">
        <v>315</v>
      </c>
      <c r="L63" s="65">
        <f>10^-6</f>
        <v>9.9999999999999995E-7</v>
      </c>
      <c r="N63" s="77" t="s">
        <v>230</v>
      </c>
      <c r="O63" s="75" t="s">
        <v>315</v>
      </c>
      <c r="P63" s="76">
        <f>10^-6</f>
        <v>9.9999999999999995E-7</v>
      </c>
    </row>
    <row r="64" spans="2:16" ht="15" customHeight="1" x14ac:dyDescent="0.15">
      <c r="B64" s="63" t="s">
        <v>326</v>
      </c>
      <c r="C64" s="64" t="s">
        <v>316</v>
      </c>
      <c r="D64" s="65">
        <f>D40-D54</f>
        <v>53.944399317341748</v>
      </c>
      <c r="F64" s="63" t="s">
        <v>326</v>
      </c>
      <c r="G64" s="64" t="s">
        <v>316</v>
      </c>
      <c r="H64" s="65">
        <f>H40-H54</f>
        <v>52.631884063135317</v>
      </c>
      <c r="I64" s="106"/>
      <c r="J64" s="63" t="s">
        <v>326</v>
      </c>
      <c r="K64" s="64" t="s">
        <v>316</v>
      </c>
      <c r="L64" s="65">
        <f>L40-L54</f>
        <v>46.16288681350531</v>
      </c>
      <c r="N64" s="77" t="s">
        <v>327</v>
      </c>
      <c r="O64" s="75" t="s">
        <v>316</v>
      </c>
      <c r="P64" s="76">
        <f>P40-P54</f>
        <v>75.211147259126221</v>
      </c>
    </row>
    <row r="65" spans="2:16" ht="15" customHeight="1" x14ac:dyDescent="0.15">
      <c r="B65" s="63" t="s">
        <v>317</v>
      </c>
      <c r="C65" s="64" t="s">
        <v>318</v>
      </c>
      <c r="D65" s="65">
        <v>10.5</v>
      </c>
      <c r="F65" s="63" t="s">
        <v>317</v>
      </c>
      <c r="G65" s="64" t="s">
        <v>318</v>
      </c>
      <c r="H65" s="65">
        <v>10.5</v>
      </c>
      <c r="I65" s="106"/>
      <c r="J65" s="63" t="s">
        <v>317</v>
      </c>
      <c r="K65" s="64" t="s">
        <v>318</v>
      </c>
      <c r="L65" s="65">
        <v>10.5</v>
      </c>
      <c r="N65" s="77" t="s">
        <v>317</v>
      </c>
      <c r="O65" s="75" t="s">
        <v>318</v>
      </c>
      <c r="P65" s="76">
        <v>10.5</v>
      </c>
    </row>
    <row r="66" spans="2:16" ht="15" customHeight="1" x14ac:dyDescent="0.15">
      <c r="B66" s="63" t="s">
        <v>319</v>
      </c>
      <c r="C66" s="64" t="s">
        <v>323</v>
      </c>
      <c r="D66" s="65">
        <f>D65-D59-D58+D62</f>
        <v>48.291812460476251</v>
      </c>
      <c r="F66" s="63" t="s">
        <v>319</v>
      </c>
      <c r="G66" s="64" t="s">
        <v>320</v>
      </c>
      <c r="H66" s="65">
        <f>H65-H59-H58+H62</f>
        <v>57.322712330395682</v>
      </c>
      <c r="I66" s="61"/>
      <c r="J66" s="63" t="s">
        <v>319</v>
      </c>
      <c r="K66" s="64" t="s">
        <v>320</v>
      </c>
      <c r="L66" s="65">
        <f>L65-L59-L58+L62</f>
        <v>42.291812460476251</v>
      </c>
      <c r="N66" s="77" t="s">
        <v>319</v>
      </c>
      <c r="O66" s="75" t="s">
        <v>320</v>
      </c>
      <c r="P66" s="76">
        <f>P65-P59-P58+P62</f>
        <v>48.291812460476251</v>
      </c>
    </row>
    <row r="67" spans="2:16" ht="15" customHeight="1" thickBot="1" x14ac:dyDescent="0.2">
      <c r="B67" s="80" t="s">
        <v>233</v>
      </c>
      <c r="C67" s="81" t="s">
        <v>232</v>
      </c>
      <c r="D67" s="82">
        <f>D64-D66</f>
        <v>5.6525868568654971</v>
      </c>
      <c r="F67" s="80" t="s">
        <v>233</v>
      </c>
      <c r="G67" s="81" t="s">
        <v>231</v>
      </c>
      <c r="H67" s="82">
        <f>H64-H66</f>
        <v>-4.6908282672603647</v>
      </c>
      <c r="I67" s="106"/>
      <c r="J67" s="80" t="s">
        <v>233</v>
      </c>
      <c r="K67" s="81" t="s">
        <v>231</v>
      </c>
      <c r="L67" s="82">
        <f>L64-L66</f>
        <v>3.8710743530290586</v>
      </c>
      <c r="N67" s="80" t="s">
        <v>233</v>
      </c>
      <c r="O67" s="81" t="s">
        <v>231</v>
      </c>
      <c r="P67" s="82">
        <f>P64-P66</f>
        <v>26.91933479864997</v>
      </c>
    </row>
    <row r="68" spans="2:16" ht="15" customHeight="1" x14ac:dyDescent="0.15">
      <c r="N68" s="83"/>
      <c r="O68" s="83"/>
      <c r="P68" s="83"/>
    </row>
    <row r="69" spans="2:16" ht="15" customHeight="1" x14ac:dyDescent="0.15">
      <c r="N69" s="83"/>
      <c r="O69" s="83"/>
      <c r="P69" s="83"/>
    </row>
    <row r="70" spans="2:16" ht="15" customHeight="1" x14ac:dyDescent="0.15">
      <c r="B70" s="107" t="s">
        <v>234</v>
      </c>
      <c r="N70" s="83"/>
      <c r="O70" s="83"/>
      <c r="P70" s="83"/>
    </row>
    <row r="71" spans="2:16" ht="15" customHeight="1" x14ac:dyDescent="0.15">
      <c r="N71" s="83"/>
      <c r="O71" s="83"/>
      <c r="P71" s="83"/>
    </row>
    <row r="72" spans="2:16" ht="15" customHeight="1" thickBot="1" x14ac:dyDescent="0.2">
      <c r="B72" s="59" t="s">
        <v>117</v>
      </c>
      <c r="F72" s="59" t="s">
        <v>245</v>
      </c>
      <c r="N72" s="83"/>
      <c r="O72" s="83"/>
      <c r="P72" s="83"/>
    </row>
    <row r="73" spans="2:16" ht="15" customHeight="1" thickBot="1" x14ac:dyDescent="0.2">
      <c r="B73" s="196" t="s">
        <v>242</v>
      </c>
      <c r="C73" s="197"/>
      <c r="D73" s="198"/>
      <c r="F73" s="196" t="s">
        <v>249</v>
      </c>
      <c r="G73" s="197"/>
      <c r="H73" s="198"/>
      <c r="J73" s="219" t="s">
        <v>284</v>
      </c>
      <c r="K73" s="57"/>
      <c r="L73" s="57"/>
      <c r="N73" s="83"/>
      <c r="O73" s="83"/>
      <c r="P73" s="83"/>
    </row>
    <row r="74" spans="2:16" ht="15" customHeight="1" x14ac:dyDescent="0.15">
      <c r="B74" s="60" t="s">
        <v>208</v>
      </c>
      <c r="C74" s="211" t="s">
        <v>118</v>
      </c>
      <c r="D74" s="212"/>
      <c r="F74" s="60" t="s">
        <v>208</v>
      </c>
      <c r="G74" s="211" t="s">
        <v>118</v>
      </c>
      <c r="H74" s="212"/>
      <c r="J74" s="219"/>
      <c r="K74" s="57"/>
      <c r="L74" s="57"/>
      <c r="N74" s="83"/>
      <c r="O74" s="83"/>
      <c r="P74" s="83"/>
    </row>
    <row r="75" spans="2:16" ht="15" customHeight="1" x14ac:dyDescent="0.15">
      <c r="B75" s="62" t="s">
        <v>209</v>
      </c>
      <c r="C75" s="199" t="s">
        <v>251</v>
      </c>
      <c r="D75" s="200"/>
      <c r="F75" s="62" t="s">
        <v>209</v>
      </c>
      <c r="G75" s="199" t="s">
        <v>241</v>
      </c>
      <c r="H75" s="200"/>
      <c r="J75" s="57"/>
      <c r="K75" s="57"/>
      <c r="L75" s="57"/>
      <c r="N75" s="83"/>
      <c r="O75" s="83"/>
      <c r="P75" s="83"/>
    </row>
    <row r="76" spans="2:16" ht="15" customHeight="1" x14ac:dyDescent="0.15">
      <c r="B76" s="63" t="s">
        <v>210</v>
      </c>
      <c r="C76" s="64" t="s">
        <v>38</v>
      </c>
      <c r="D76" s="65">
        <v>800</v>
      </c>
      <c r="F76" s="63" t="s">
        <v>210</v>
      </c>
      <c r="G76" s="64" t="s">
        <v>38</v>
      </c>
      <c r="H76" s="65">
        <v>800</v>
      </c>
      <c r="J76" s="57"/>
      <c r="K76" s="57"/>
      <c r="L76" s="57"/>
      <c r="N76" s="83"/>
      <c r="O76" s="83"/>
      <c r="P76" s="83"/>
    </row>
    <row r="77" spans="2:16" ht="15" customHeight="1" x14ac:dyDescent="0.15">
      <c r="B77" s="63" t="s">
        <v>211</v>
      </c>
      <c r="C77" s="64" t="s">
        <v>252</v>
      </c>
      <c r="D77" s="65">
        <v>6378.1419999999998</v>
      </c>
      <c r="F77" s="63" t="s">
        <v>211</v>
      </c>
      <c r="G77" s="64" t="s">
        <v>252</v>
      </c>
      <c r="H77" s="65">
        <v>6378.1419999999998</v>
      </c>
      <c r="J77" s="57"/>
      <c r="K77" s="57"/>
      <c r="L77" s="57"/>
    </row>
    <row r="78" spans="2:16" ht="15" customHeight="1" x14ac:dyDescent="0.15">
      <c r="B78" s="201" t="s">
        <v>212</v>
      </c>
      <c r="C78" s="64" t="s">
        <v>285</v>
      </c>
      <c r="D78" s="65">
        <v>5</v>
      </c>
      <c r="F78" s="201" t="s">
        <v>212</v>
      </c>
      <c r="G78" s="64" t="s">
        <v>285</v>
      </c>
      <c r="H78" s="65">
        <v>5</v>
      </c>
    </row>
    <row r="79" spans="2:16" ht="15" customHeight="1" x14ac:dyDescent="0.15">
      <c r="B79" s="202"/>
      <c r="C79" s="64" t="s">
        <v>286</v>
      </c>
      <c r="D79" s="65">
        <f>D78*PI()/180</f>
        <v>8.7266462599716474E-2</v>
      </c>
      <c r="F79" s="202"/>
      <c r="G79" s="64" t="s">
        <v>286</v>
      </c>
      <c r="H79" s="65">
        <f>H78*PI()/180</f>
        <v>8.7266462599716474E-2</v>
      </c>
    </row>
    <row r="80" spans="2:16" ht="15" customHeight="1" x14ac:dyDescent="0.15">
      <c r="B80" s="217" t="s">
        <v>213</v>
      </c>
      <c r="C80" s="64" t="s">
        <v>40</v>
      </c>
      <c r="D80" s="65">
        <f>ACOS(D77*COS(D79)/(D77+D76))-D79</f>
        <v>0.39667200932772684</v>
      </c>
      <c r="F80" s="217" t="s">
        <v>213</v>
      </c>
      <c r="G80" s="64" t="s">
        <v>40</v>
      </c>
      <c r="H80" s="65">
        <f>ACOS(H77*COS(H79)/(H77+H76))-H79</f>
        <v>0.39667200932772684</v>
      </c>
    </row>
    <row r="81" spans="2:8" ht="15" customHeight="1" x14ac:dyDescent="0.15">
      <c r="B81" s="218"/>
      <c r="C81" s="64" t="s">
        <v>39</v>
      </c>
      <c r="D81" s="65">
        <f>D80*180/PI()</f>
        <v>22.727631985452771</v>
      </c>
      <c r="F81" s="218"/>
      <c r="G81" s="64" t="s">
        <v>39</v>
      </c>
      <c r="H81" s="65">
        <f>H80*180/PI()</f>
        <v>22.727631985452771</v>
      </c>
    </row>
    <row r="82" spans="2:8" ht="15" customHeight="1" x14ac:dyDescent="0.15">
      <c r="B82" s="63" t="s">
        <v>214</v>
      </c>
      <c r="C82" s="64" t="s">
        <v>43</v>
      </c>
      <c r="D82" s="65">
        <f>(D77+D76)*SIN(D80)/COS(D79)</f>
        <v>2783.8751726156697</v>
      </c>
      <c r="F82" s="63" t="s">
        <v>214</v>
      </c>
      <c r="G82" s="64" t="s">
        <v>43</v>
      </c>
      <c r="H82" s="65">
        <f>(H77+H76)*SIN(H80)/COS(H79)</f>
        <v>2783.8751726156697</v>
      </c>
    </row>
    <row r="83" spans="2:8" ht="15" customHeight="1" x14ac:dyDescent="0.15">
      <c r="B83" s="63" t="s">
        <v>215</v>
      </c>
      <c r="C83" s="64" t="s">
        <v>253</v>
      </c>
      <c r="D83" s="66">
        <f>3*10^8</f>
        <v>300000000</v>
      </c>
      <c r="F83" s="63" t="s">
        <v>215</v>
      </c>
      <c r="G83" s="64" t="s">
        <v>253</v>
      </c>
      <c r="H83" s="66">
        <f>3*10^8</f>
        <v>300000000</v>
      </c>
    </row>
    <row r="84" spans="2:8" ht="15" customHeight="1" thickBot="1" x14ac:dyDescent="0.2">
      <c r="B84" s="68" t="s">
        <v>254</v>
      </c>
      <c r="C84" s="69" t="s">
        <v>322</v>
      </c>
      <c r="D84" s="70">
        <f>1.38*10^-23</f>
        <v>1.3800000000000001E-23</v>
      </c>
      <c r="F84" s="68" t="s">
        <v>254</v>
      </c>
      <c r="G84" s="69" t="s">
        <v>322</v>
      </c>
      <c r="H84" s="70">
        <f>1.38*10^-23</f>
        <v>1.3800000000000001E-23</v>
      </c>
    </row>
    <row r="85" spans="2:8" ht="15" customHeight="1" thickBot="1" x14ac:dyDescent="0.2"/>
    <row r="86" spans="2:8" ht="15" customHeight="1" thickBot="1" x14ac:dyDescent="0.2">
      <c r="B86" s="203" t="s">
        <v>216</v>
      </c>
      <c r="C86" s="204"/>
      <c r="D86" s="205"/>
      <c r="F86" s="203" t="s">
        <v>255</v>
      </c>
      <c r="G86" s="204"/>
      <c r="H86" s="205"/>
    </row>
    <row r="87" spans="2:8" ht="15" customHeight="1" x14ac:dyDescent="0.15">
      <c r="B87" s="62" t="s">
        <v>256</v>
      </c>
      <c r="C87" s="73" t="s">
        <v>44</v>
      </c>
      <c r="D87" s="74">
        <v>436.52499999999998</v>
      </c>
      <c r="F87" s="62" t="s">
        <v>256</v>
      </c>
      <c r="G87" s="73" t="s">
        <v>44</v>
      </c>
      <c r="H87" s="74">
        <v>145.82</v>
      </c>
    </row>
    <row r="88" spans="2:8" ht="15" customHeight="1" x14ac:dyDescent="0.15">
      <c r="B88" s="215" t="s">
        <v>217</v>
      </c>
      <c r="C88" s="75" t="s">
        <v>287</v>
      </c>
      <c r="D88" s="76">
        <v>0.45</v>
      </c>
      <c r="E88" s="83"/>
      <c r="F88" s="215" t="s">
        <v>217</v>
      </c>
      <c r="G88" s="75" t="s">
        <v>287</v>
      </c>
      <c r="H88" s="76">
        <v>50</v>
      </c>
    </row>
    <row r="89" spans="2:8" ht="15" customHeight="1" x14ac:dyDescent="0.15">
      <c r="B89" s="216"/>
      <c r="C89" s="75" t="s">
        <v>288</v>
      </c>
      <c r="D89" s="76">
        <f>10*LOG(D88)</f>
        <v>-3.4678748622465632</v>
      </c>
      <c r="E89" s="83"/>
      <c r="F89" s="216"/>
      <c r="G89" s="75" t="s">
        <v>288</v>
      </c>
      <c r="H89" s="76">
        <f>10*LOG(H88)</f>
        <v>16.989700043360187</v>
      </c>
    </row>
    <row r="90" spans="2:8" ht="15" customHeight="1" x14ac:dyDescent="0.15">
      <c r="B90" s="77" t="s">
        <v>257</v>
      </c>
      <c r="C90" s="75" t="s">
        <v>289</v>
      </c>
      <c r="D90" s="76">
        <v>-2</v>
      </c>
      <c r="E90" s="83"/>
      <c r="F90" s="77" t="s">
        <v>257</v>
      </c>
      <c r="G90" s="75" t="s">
        <v>289</v>
      </c>
      <c r="H90" s="76">
        <v>-2</v>
      </c>
    </row>
    <row r="91" spans="2:8" ht="15" customHeight="1" x14ac:dyDescent="0.15">
      <c r="B91" s="77" t="s">
        <v>258</v>
      </c>
      <c r="C91" s="75" t="s">
        <v>290</v>
      </c>
      <c r="D91" s="76">
        <v>-2</v>
      </c>
      <c r="E91" s="83"/>
      <c r="F91" s="77" t="s">
        <v>258</v>
      </c>
      <c r="G91" s="75" t="s">
        <v>290</v>
      </c>
      <c r="H91" s="76">
        <v>14</v>
      </c>
    </row>
    <row r="92" spans="2:8" ht="15" customHeight="1" x14ac:dyDescent="0.15">
      <c r="B92" s="77" t="s">
        <v>259</v>
      </c>
      <c r="C92" s="75" t="s">
        <v>291</v>
      </c>
      <c r="D92" s="76">
        <f>D89+D90+D91</f>
        <v>-7.4678748622465632</v>
      </c>
      <c r="E92" s="83"/>
      <c r="F92" s="77" t="s">
        <v>259</v>
      </c>
      <c r="G92" s="75" t="s">
        <v>291</v>
      </c>
      <c r="H92" s="76">
        <f>H89+H90+H91</f>
        <v>28.989700043360187</v>
      </c>
    </row>
    <row r="93" spans="2:8" ht="15" customHeight="1" thickBot="1" x14ac:dyDescent="0.2">
      <c r="B93" s="80" t="s">
        <v>260</v>
      </c>
      <c r="C93" s="81" t="s">
        <v>292</v>
      </c>
      <c r="D93" s="82">
        <v>0</v>
      </c>
      <c r="E93" s="83"/>
      <c r="F93" s="80" t="s">
        <v>260</v>
      </c>
      <c r="G93" s="81" t="s">
        <v>292</v>
      </c>
      <c r="H93" s="82">
        <v>0</v>
      </c>
    </row>
    <row r="94" spans="2:8" ht="15" customHeight="1" thickBot="1" x14ac:dyDescent="0.2">
      <c r="B94" s="83"/>
      <c r="C94" s="83"/>
      <c r="D94" s="83"/>
      <c r="E94" s="83"/>
      <c r="F94" s="83"/>
      <c r="G94" s="83"/>
      <c r="H94" s="83"/>
    </row>
    <row r="95" spans="2:8" ht="15" customHeight="1" thickBot="1" x14ac:dyDescent="0.2">
      <c r="B95" s="206" t="s">
        <v>261</v>
      </c>
      <c r="C95" s="207"/>
      <c r="D95" s="208"/>
      <c r="E95" s="83"/>
      <c r="F95" s="206" t="s">
        <v>261</v>
      </c>
      <c r="G95" s="207"/>
      <c r="H95" s="208"/>
    </row>
    <row r="96" spans="2:8" ht="15" customHeight="1" x14ac:dyDescent="0.15">
      <c r="B96" s="86" t="s">
        <v>262</v>
      </c>
      <c r="C96" s="87" t="s">
        <v>293</v>
      </c>
      <c r="D96" s="88">
        <f>-(20*LOG(4*PI()*D87*10^6*D82/(D83*10^-3)))</f>
        <v>-154.13494976340365</v>
      </c>
      <c r="E96" s="83"/>
      <c r="F96" s="86" t="s">
        <v>262</v>
      </c>
      <c r="G96" s="87" t="s">
        <v>293</v>
      </c>
      <c r="H96" s="88">
        <f>-(20*LOG(4*PI()*H87*10^6*H82/(H83*10^-3)))</f>
        <v>-144.61110922117061</v>
      </c>
    </row>
    <row r="97" spans="2:8" ht="15" customHeight="1" x14ac:dyDescent="0.15">
      <c r="B97" s="77" t="s">
        <v>263</v>
      </c>
      <c r="C97" s="75" t="s">
        <v>294</v>
      </c>
      <c r="D97" s="76">
        <v>-3</v>
      </c>
      <c r="E97" s="83"/>
      <c r="F97" s="77" t="s">
        <v>263</v>
      </c>
      <c r="G97" s="75" t="s">
        <v>294</v>
      </c>
      <c r="H97" s="76">
        <v>-3</v>
      </c>
    </row>
    <row r="98" spans="2:8" ht="15" customHeight="1" x14ac:dyDescent="0.15">
      <c r="B98" s="77" t="s">
        <v>264</v>
      </c>
      <c r="C98" s="75" t="s">
        <v>295</v>
      </c>
      <c r="D98" s="76">
        <v>0</v>
      </c>
      <c r="E98" s="83"/>
      <c r="F98" s="77" t="s">
        <v>264</v>
      </c>
      <c r="G98" s="75" t="s">
        <v>295</v>
      </c>
      <c r="H98" s="76">
        <v>0</v>
      </c>
    </row>
    <row r="99" spans="2:8" ht="15" customHeight="1" x14ac:dyDescent="0.15">
      <c r="B99" s="77" t="s">
        <v>265</v>
      </c>
      <c r="C99" s="75" t="s">
        <v>296</v>
      </c>
      <c r="D99" s="76">
        <v>0</v>
      </c>
      <c r="E99" s="83"/>
      <c r="F99" s="77" t="s">
        <v>265</v>
      </c>
      <c r="G99" s="75" t="s">
        <v>296</v>
      </c>
      <c r="H99" s="76">
        <v>0</v>
      </c>
    </row>
    <row r="100" spans="2:8" ht="15" customHeight="1" x14ac:dyDescent="0.15">
      <c r="B100" s="77" t="s">
        <v>266</v>
      </c>
      <c r="C100" s="75" t="s">
        <v>297</v>
      </c>
      <c r="D100" s="76">
        <v>0</v>
      </c>
      <c r="E100" s="83"/>
      <c r="F100" s="77" t="s">
        <v>266</v>
      </c>
      <c r="G100" s="75" t="s">
        <v>297</v>
      </c>
      <c r="H100" s="76">
        <v>0</v>
      </c>
    </row>
    <row r="101" spans="2:8" ht="15" customHeight="1" thickBot="1" x14ac:dyDescent="0.2">
      <c r="B101" s="80" t="s">
        <v>267</v>
      </c>
      <c r="C101" s="81" t="s">
        <v>298</v>
      </c>
      <c r="D101" s="82">
        <f>D96+D97+D98+D99+D100</f>
        <v>-157.13494976340365</v>
      </c>
      <c r="E101" s="83"/>
      <c r="F101" s="80" t="s">
        <v>267</v>
      </c>
      <c r="G101" s="81" t="s">
        <v>298</v>
      </c>
      <c r="H101" s="82">
        <f>H96+H97+H98+H99+H100</f>
        <v>-147.61110922117061</v>
      </c>
    </row>
    <row r="102" spans="2:8" ht="15" customHeight="1" thickBot="1" x14ac:dyDescent="0.2">
      <c r="B102" s="83"/>
      <c r="C102" s="83"/>
      <c r="D102" s="83"/>
      <c r="E102" s="83"/>
      <c r="F102" s="83"/>
      <c r="G102" s="83"/>
      <c r="H102" s="83"/>
    </row>
    <row r="103" spans="2:8" ht="15" customHeight="1" thickBot="1" x14ac:dyDescent="0.2">
      <c r="B103" s="206" t="s">
        <v>255</v>
      </c>
      <c r="C103" s="207"/>
      <c r="D103" s="208"/>
      <c r="E103" s="83"/>
      <c r="F103" s="206" t="s">
        <v>216</v>
      </c>
      <c r="G103" s="207"/>
      <c r="H103" s="208"/>
    </row>
    <row r="104" spans="2:8" ht="15" customHeight="1" x14ac:dyDescent="0.15">
      <c r="B104" s="90" t="s">
        <v>268</v>
      </c>
      <c r="C104" s="209" t="s">
        <v>240</v>
      </c>
      <c r="D104" s="210"/>
      <c r="E104" s="83"/>
      <c r="F104" s="90" t="s">
        <v>268</v>
      </c>
      <c r="G104" s="209" t="s">
        <v>251</v>
      </c>
      <c r="H104" s="210"/>
    </row>
    <row r="105" spans="2:8" ht="15" customHeight="1" x14ac:dyDescent="0.15">
      <c r="B105" s="77" t="s">
        <v>269</v>
      </c>
      <c r="C105" s="75" t="s">
        <v>299</v>
      </c>
      <c r="D105" s="76">
        <v>0</v>
      </c>
      <c r="E105" s="83"/>
      <c r="F105" s="77" t="s">
        <v>269</v>
      </c>
      <c r="G105" s="75" t="s">
        <v>299</v>
      </c>
      <c r="H105" s="76">
        <v>0</v>
      </c>
    </row>
    <row r="106" spans="2:8" ht="15" customHeight="1" x14ac:dyDescent="0.15">
      <c r="B106" s="77" t="s">
        <v>270</v>
      </c>
      <c r="C106" s="75" t="s">
        <v>300</v>
      </c>
      <c r="D106" s="76">
        <v>18.5</v>
      </c>
      <c r="E106" s="83"/>
      <c r="F106" s="77" t="s">
        <v>270</v>
      </c>
      <c r="G106" s="75" t="s">
        <v>300</v>
      </c>
      <c r="H106" s="76">
        <v>0</v>
      </c>
    </row>
    <row r="107" spans="2:8" ht="15" customHeight="1" x14ac:dyDescent="0.15">
      <c r="B107" s="201" t="s">
        <v>325</v>
      </c>
      <c r="C107" s="75" t="s">
        <v>301</v>
      </c>
      <c r="D107" s="76">
        <v>-2</v>
      </c>
      <c r="E107" s="83"/>
      <c r="F107" s="201" t="s">
        <v>325</v>
      </c>
      <c r="G107" s="75" t="s">
        <v>301</v>
      </c>
      <c r="H107" s="76">
        <v>-2</v>
      </c>
    </row>
    <row r="108" spans="2:8" ht="15" customHeight="1" x14ac:dyDescent="0.15">
      <c r="B108" s="202"/>
      <c r="C108" s="75" t="s">
        <v>271</v>
      </c>
      <c r="D108" s="76">
        <f>10^(-D107/10)</f>
        <v>1.5848931924611136</v>
      </c>
      <c r="E108" s="83"/>
      <c r="F108" s="202"/>
      <c r="G108" s="75" t="s">
        <v>271</v>
      </c>
      <c r="H108" s="76">
        <f>10^(-H107/10)</f>
        <v>1.5848931924611136</v>
      </c>
    </row>
    <row r="109" spans="2:8" ht="15" customHeight="1" x14ac:dyDescent="0.15">
      <c r="B109" s="77" t="s">
        <v>218</v>
      </c>
      <c r="C109" s="75" t="s">
        <v>59</v>
      </c>
      <c r="D109" s="76">
        <f>D92-D93+D101-D105+D106+D107</f>
        <v>-148.10282462565021</v>
      </c>
      <c r="E109" s="83"/>
      <c r="F109" s="77" t="s">
        <v>218</v>
      </c>
      <c r="G109" s="75" t="s">
        <v>59</v>
      </c>
      <c r="H109" s="76">
        <f>H92-H93+H101-H105+H106+H107</f>
        <v>-120.62140917781042</v>
      </c>
    </row>
    <row r="110" spans="2:8" ht="15" customHeight="1" x14ac:dyDescent="0.15">
      <c r="B110" s="77" t="s">
        <v>272</v>
      </c>
      <c r="C110" s="75" t="s">
        <v>302</v>
      </c>
      <c r="D110" s="76">
        <v>300</v>
      </c>
      <c r="E110" s="83"/>
      <c r="F110" s="77" t="s">
        <v>272</v>
      </c>
      <c r="G110" s="75" t="s">
        <v>302</v>
      </c>
      <c r="H110" s="76">
        <v>300</v>
      </c>
    </row>
    <row r="111" spans="2:8" ht="15" customHeight="1" x14ac:dyDescent="0.15">
      <c r="B111" s="77" t="s">
        <v>273</v>
      </c>
      <c r="C111" s="64" t="s">
        <v>324</v>
      </c>
      <c r="D111" s="76">
        <f>D113</f>
        <v>300</v>
      </c>
      <c r="E111" s="83"/>
      <c r="F111" s="77" t="s">
        <v>273</v>
      </c>
      <c r="G111" s="64" t="s">
        <v>324</v>
      </c>
      <c r="H111" s="76">
        <f>H113</f>
        <v>300</v>
      </c>
    </row>
    <row r="112" spans="2:8" ht="15" customHeight="1" x14ac:dyDescent="0.15">
      <c r="B112" s="77" t="s">
        <v>227</v>
      </c>
      <c r="C112" s="75" t="s">
        <v>303</v>
      </c>
      <c r="D112" s="76">
        <v>300</v>
      </c>
      <c r="E112" s="83"/>
      <c r="F112" s="77" t="s">
        <v>227</v>
      </c>
      <c r="G112" s="75" t="s">
        <v>303</v>
      </c>
      <c r="H112" s="76">
        <v>300</v>
      </c>
    </row>
    <row r="113" spans="2:8" ht="15" customHeight="1" x14ac:dyDescent="0.15">
      <c r="B113" s="77" t="s">
        <v>275</v>
      </c>
      <c r="C113" s="75" t="s">
        <v>304</v>
      </c>
      <c r="D113" s="76">
        <v>300</v>
      </c>
      <c r="E113" s="83"/>
      <c r="F113" s="77" t="s">
        <v>238</v>
      </c>
      <c r="G113" s="75" t="s">
        <v>304</v>
      </c>
      <c r="H113" s="76">
        <v>300</v>
      </c>
    </row>
    <row r="114" spans="2:8" ht="15" customHeight="1" x14ac:dyDescent="0.15">
      <c r="B114" s="215" t="s">
        <v>219</v>
      </c>
      <c r="C114" s="75" t="s">
        <v>66</v>
      </c>
      <c r="D114" s="76">
        <f>D112/D113+1</f>
        <v>2</v>
      </c>
      <c r="E114" s="83"/>
      <c r="F114" s="215" t="s">
        <v>219</v>
      </c>
      <c r="G114" s="75" t="s">
        <v>66</v>
      </c>
      <c r="H114" s="76">
        <v>5</v>
      </c>
    </row>
    <row r="115" spans="2:8" ht="15" customHeight="1" x14ac:dyDescent="0.15">
      <c r="B115" s="216"/>
      <c r="C115" s="75" t="s">
        <v>65</v>
      </c>
      <c r="D115" s="76">
        <f>10*LOG(D114)</f>
        <v>3.0102999566398121</v>
      </c>
      <c r="E115" s="83"/>
      <c r="F115" s="216"/>
      <c r="G115" s="75" t="s">
        <v>65</v>
      </c>
      <c r="H115" s="76">
        <f>10*LOG(H114)</f>
        <v>6.9897000433601884</v>
      </c>
    </row>
    <row r="116" spans="2:8" ht="15" customHeight="1" x14ac:dyDescent="0.15">
      <c r="B116" s="77" t="s">
        <v>235</v>
      </c>
      <c r="C116" s="75" t="s">
        <v>305</v>
      </c>
      <c r="D116" s="76">
        <f>10*LOG(D110/D108+(1-(1/D108))*D111+(D114-1)*D113)</f>
        <v>27.781512503836435</v>
      </c>
      <c r="E116" s="83"/>
      <c r="F116" s="77" t="s">
        <v>237</v>
      </c>
      <c r="G116" s="75" t="s">
        <v>305</v>
      </c>
      <c r="H116" s="76">
        <f>10*LOG(H110/H108+(1-(1/H108))*H111+(H114-1)*H113)</f>
        <v>31.760912590556813</v>
      </c>
    </row>
    <row r="117" spans="2:8" ht="15" customHeight="1" x14ac:dyDescent="0.15">
      <c r="B117" s="77" t="s">
        <v>220</v>
      </c>
      <c r="C117" s="75" t="s">
        <v>306</v>
      </c>
      <c r="D117" s="76">
        <v>300</v>
      </c>
      <c r="E117" s="83"/>
      <c r="F117" s="77" t="s">
        <v>220</v>
      </c>
      <c r="G117" s="75" t="s">
        <v>306</v>
      </c>
      <c r="H117" s="76">
        <v>300</v>
      </c>
    </row>
    <row r="118" spans="2:8" ht="15" customHeight="1" x14ac:dyDescent="0.15">
      <c r="B118" s="77" t="s">
        <v>221</v>
      </c>
      <c r="C118" s="75" t="s">
        <v>307</v>
      </c>
      <c r="D118" s="76">
        <f>1.12*D117-50</f>
        <v>286.00000000000006</v>
      </c>
      <c r="E118" s="83"/>
      <c r="F118" s="77" t="s">
        <v>221</v>
      </c>
      <c r="G118" s="75" t="s">
        <v>307</v>
      </c>
      <c r="H118" s="76">
        <f>1.12*H117-50</f>
        <v>286.00000000000006</v>
      </c>
    </row>
    <row r="119" spans="2:8" ht="15" customHeight="1" x14ac:dyDescent="0.15">
      <c r="B119" s="77" t="s">
        <v>276</v>
      </c>
      <c r="C119" s="75" t="s">
        <v>308</v>
      </c>
      <c r="D119" s="76">
        <f>D118*(1-10^(-D98/10))</f>
        <v>0</v>
      </c>
      <c r="E119" s="83"/>
      <c r="F119" s="77" t="s">
        <v>276</v>
      </c>
      <c r="G119" s="75" t="s">
        <v>308</v>
      </c>
      <c r="H119" s="76">
        <f>H118*(1-10^(-H98/10))</f>
        <v>0</v>
      </c>
    </row>
    <row r="120" spans="2:8" ht="15" customHeight="1" x14ac:dyDescent="0.15">
      <c r="B120" s="77" t="s">
        <v>222</v>
      </c>
      <c r="C120" s="75" t="s">
        <v>277</v>
      </c>
      <c r="D120" s="76">
        <v>5</v>
      </c>
      <c r="E120" s="83"/>
      <c r="F120" s="77" t="s">
        <v>222</v>
      </c>
      <c r="G120" s="75" t="s">
        <v>277</v>
      </c>
      <c r="H120" s="76">
        <v>5</v>
      </c>
    </row>
    <row r="121" spans="2:8" ht="15" customHeight="1" x14ac:dyDescent="0.15">
      <c r="B121" s="215" t="s">
        <v>223</v>
      </c>
      <c r="C121" s="75" t="s">
        <v>278</v>
      </c>
      <c r="D121" s="108">
        <f>D84*D116*D120</f>
        <v>1.9169243627647141E-21</v>
      </c>
      <c r="E121" s="83"/>
      <c r="F121" s="215" t="s">
        <v>223</v>
      </c>
      <c r="G121" s="75" t="s">
        <v>278</v>
      </c>
      <c r="H121" s="94">
        <f>H84*H116*H120</f>
        <v>2.19150296874842E-21</v>
      </c>
    </row>
    <row r="122" spans="2:8" ht="15" customHeight="1" x14ac:dyDescent="0.15">
      <c r="B122" s="216"/>
      <c r="C122" s="75" t="s">
        <v>279</v>
      </c>
      <c r="D122" s="94">
        <f>10*LOG(D121)</f>
        <v>-207.17395023001941</v>
      </c>
      <c r="E122" s="83"/>
      <c r="F122" s="216"/>
      <c r="G122" s="75" t="s">
        <v>279</v>
      </c>
      <c r="H122" s="94">
        <f>10*LOG(H121)</f>
        <v>-206.5925793668687</v>
      </c>
    </row>
    <row r="123" spans="2:8" ht="15" customHeight="1" x14ac:dyDescent="0.15">
      <c r="B123" s="77" t="s">
        <v>224</v>
      </c>
      <c r="C123" s="75" t="s">
        <v>309</v>
      </c>
      <c r="D123" s="108">
        <f>10*LOG(D84)+D116</f>
        <v>-200.81969663215119</v>
      </c>
      <c r="E123" s="83"/>
      <c r="F123" s="77" t="s">
        <v>224</v>
      </c>
      <c r="G123" s="75" t="s">
        <v>309</v>
      </c>
      <c r="H123" s="94">
        <f>10*LOG(H84)+H116</f>
        <v>-196.84029654543082</v>
      </c>
    </row>
    <row r="124" spans="2:8" ht="15" customHeight="1" x14ac:dyDescent="0.15">
      <c r="B124" s="98" t="s">
        <v>225</v>
      </c>
      <c r="C124" s="99" t="s">
        <v>280</v>
      </c>
      <c r="D124" s="100">
        <f>D106+D107</f>
        <v>16.5</v>
      </c>
      <c r="E124" s="83"/>
      <c r="F124" s="98" t="s">
        <v>225</v>
      </c>
      <c r="G124" s="99" t="s">
        <v>280</v>
      </c>
      <c r="H124" s="100">
        <f>H106+H107</f>
        <v>-2</v>
      </c>
    </row>
    <row r="125" spans="2:8" ht="15" customHeight="1" thickBot="1" x14ac:dyDescent="0.2">
      <c r="B125" s="80" t="s">
        <v>226</v>
      </c>
      <c r="C125" s="81" t="s">
        <v>281</v>
      </c>
      <c r="D125" s="82">
        <f>D106+D107-D116</f>
        <v>-11.281512503836435</v>
      </c>
      <c r="E125" s="83"/>
      <c r="F125" s="80" t="s">
        <v>226</v>
      </c>
      <c r="G125" s="81" t="s">
        <v>281</v>
      </c>
      <c r="H125" s="82">
        <f>H106+H107-H116</f>
        <v>-33.760912590556813</v>
      </c>
    </row>
    <row r="126" spans="2:8" ht="15" customHeight="1" thickBot="1" x14ac:dyDescent="0.2">
      <c r="B126" s="83"/>
      <c r="C126" s="83"/>
      <c r="D126" s="83"/>
      <c r="E126" s="83"/>
      <c r="F126" s="83"/>
      <c r="G126" s="83"/>
      <c r="H126" s="83"/>
    </row>
    <row r="127" spans="2:8" ht="15" customHeight="1" x14ac:dyDescent="0.15">
      <c r="B127" s="103" t="s">
        <v>282</v>
      </c>
      <c r="C127" s="104" t="s">
        <v>310</v>
      </c>
      <c r="D127" s="105">
        <v>-6</v>
      </c>
      <c r="E127" s="83"/>
      <c r="F127" s="103" t="s">
        <v>282</v>
      </c>
      <c r="G127" s="104" t="s">
        <v>310</v>
      </c>
      <c r="H127" s="105">
        <v>-6</v>
      </c>
    </row>
    <row r="128" spans="2:8" ht="15" customHeight="1" x14ac:dyDescent="0.15">
      <c r="B128" s="77" t="s">
        <v>228</v>
      </c>
      <c r="C128" s="75" t="s">
        <v>311</v>
      </c>
      <c r="D128" s="76">
        <v>-1</v>
      </c>
      <c r="E128" s="83"/>
      <c r="F128" s="77" t="s">
        <v>228</v>
      </c>
      <c r="G128" s="75" t="s">
        <v>311</v>
      </c>
      <c r="H128" s="76">
        <v>-1</v>
      </c>
    </row>
    <row r="129" spans="2:8" ht="15" customHeight="1" x14ac:dyDescent="0.15">
      <c r="B129" s="77" t="s">
        <v>283</v>
      </c>
      <c r="C129" s="75" t="s">
        <v>312</v>
      </c>
      <c r="D129" s="76">
        <f>D127+D128</f>
        <v>-7</v>
      </c>
      <c r="E129" s="83"/>
      <c r="F129" s="77" t="s">
        <v>283</v>
      </c>
      <c r="G129" s="75" t="s">
        <v>312</v>
      </c>
      <c r="H129" s="76">
        <f>H127+H128</f>
        <v>-7</v>
      </c>
    </row>
    <row r="130" spans="2:8" ht="15" customHeight="1" x14ac:dyDescent="0.15">
      <c r="B130" s="215" t="s">
        <v>229</v>
      </c>
      <c r="C130" s="75" t="s">
        <v>313</v>
      </c>
      <c r="D130" s="76">
        <v>1200</v>
      </c>
      <c r="E130" s="83"/>
      <c r="F130" s="215" t="s">
        <v>229</v>
      </c>
      <c r="G130" s="75" t="s">
        <v>313</v>
      </c>
      <c r="H130" s="76">
        <v>1200</v>
      </c>
    </row>
    <row r="131" spans="2:8" ht="15" customHeight="1" x14ac:dyDescent="0.15">
      <c r="B131" s="216"/>
      <c r="C131" s="75" t="s">
        <v>314</v>
      </c>
      <c r="D131" s="76">
        <f>10*LOG(D130)</f>
        <v>30.791812460476248</v>
      </c>
      <c r="E131" s="83"/>
      <c r="F131" s="216"/>
      <c r="G131" s="75" t="s">
        <v>314</v>
      </c>
      <c r="H131" s="76">
        <f>10*LOG(H130)</f>
        <v>30.791812460476248</v>
      </c>
    </row>
    <row r="132" spans="2:8" ht="15" customHeight="1" x14ac:dyDescent="0.15">
      <c r="B132" s="77" t="s">
        <v>230</v>
      </c>
      <c r="C132" s="75" t="s">
        <v>315</v>
      </c>
      <c r="D132" s="76">
        <f>10^-6</f>
        <v>9.9999999999999995E-7</v>
      </c>
      <c r="E132" s="83"/>
      <c r="F132" s="77" t="s">
        <v>230</v>
      </c>
      <c r="G132" s="75" t="s">
        <v>315</v>
      </c>
      <c r="H132" s="76">
        <f>10^-6</f>
        <v>9.9999999999999995E-7</v>
      </c>
    </row>
    <row r="133" spans="2:8" ht="15" customHeight="1" x14ac:dyDescent="0.15">
      <c r="B133" s="63" t="s">
        <v>326</v>
      </c>
      <c r="C133" s="75" t="s">
        <v>316</v>
      </c>
      <c r="D133" s="76">
        <f>D109-D123</f>
        <v>52.716872006500978</v>
      </c>
      <c r="E133" s="83"/>
      <c r="F133" s="63" t="s">
        <v>326</v>
      </c>
      <c r="G133" s="75" t="s">
        <v>316</v>
      </c>
      <c r="H133" s="76">
        <f>H109-H123</f>
        <v>76.218887367620397</v>
      </c>
    </row>
    <row r="134" spans="2:8" ht="15" customHeight="1" x14ac:dyDescent="0.15">
      <c r="B134" s="77" t="s">
        <v>317</v>
      </c>
      <c r="C134" s="75" t="s">
        <v>318</v>
      </c>
      <c r="D134" s="76">
        <v>10.5</v>
      </c>
      <c r="E134" s="83"/>
      <c r="F134" s="77" t="s">
        <v>317</v>
      </c>
      <c r="G134" s="75" t="s">
        <v>318</v>
      </c>
      <c r="H134" s="76">
        <v>10.5</v>
      </c>
    </row>
    <row r="135" spans="2:8" ht="15" customHeight="1" x14ac:dyDescent="0.15">
      <c r="B135" s="77" t="s">
        <v>319</v>
      </c>
      <c r="C135" s="75" t="s">
        <v>320</v>
      </c>
      <c r="D135" s="76">
        <f>D134-D128-D127+D131</f>
        <v>48.291812460476251</v>
      </c>
      <c r="E135" s="83"/>
      <c r="F135" s="77" t="s">
        <v>319</v>
      </c>
      <c r="G135" s="75" t="s">
        <v>320</v>
      </c>
      <c r="H135" s="76">
        <f>H134-H128-H127+H131</f>
        <v>48.291812460476251</v>
      </c>
    </row>
    <row r="136" spans="2:8" ht="15" customHeight="1" thickBot="1" x14ac:dyDescent="0.2">
      <c r="B136" s="80" t="s">
        <v>233</v>
      </c>
      <c r="C136" s="81" t="s">
        <v>232</v>
      </c>
      <c r="D136" s="82">
        <f>D133-D135</f>
        <v>4.4250595460247268</v>
      </c>
      <c r="E136" s="83"/>
      <c r="F136" s="80" t="s">
        <v>233</v>
      </c>
      <c r="G136" s="81" t="s">
        <v>232</v>
      </c>
      <c r="H136" s="82">
        <f>H133-H135</f>
        <v>27.927074907144146</v>
      </c>
    </row>
    <row r="137" spans="2:8" ht="15" customHeight="1" x14ac:dyDescent="0.15">
      <c r="B137" s="83"/>
      <c r="C137" s="83"/>
      <c r="D137" s="83"/>
      <c r="E137" s="83"/>
      <c r="F137" s="83"/>
      <c r="G137" s="83"/>
      <c r="H137" s="83"/>
    </row>
    <row r="138" spans="2:8" ht="15" customHeight="1" x14ac:dyDescent="0.15">
      <c r="B138" s="83"/>
      <c r="C138" s="83"/>
      <c r="D138" s="83"/>
      <c r="E138" s="83"/>
      <c r="F138" s="83"/>
      <c r="G138" s="83"/>
      <c r="H138" s="83"/>
    </row>
    <row r="139" spans="2:8" ht="15" customHeight="1" x14ac:dyDescent="0.15">
      <c r="B139" s="83"/>
      <c r="C139" s="83"/>
      <c r="D139" s="83"/>
      <c r="E139" s="83"/>
      <c r="F139" s="83"/>
      <c r="G139" s="83"/>
      <c r="H139" s="83"/>
    </row>
    <row r="140" spans="2:8" ht="15" customHeight="1" x14ac:dyDescent="0.15">
      <c r="B140" s="83"/>
      <c r="C140" s="83"/>
      <c r="D140" s="83"/>
      <c r="E140" s="83"/>
      <c r="F140" s="83"/>
      <c r="G140" s="83"/>
      <c r="H140" s="83"/>
    </row>
    <row r="141" spans="2:8" ht="15" customHeight="1" x14ac:dyDescent="0.15">
      <c r="B141" s="83"/>
      <c r="C141" s="83"/>
      <c r="D141" s="83"/>
      <c r="E141" s="83"/>
      <c r="F141" s="83"/>
      <c r="G141" s="83"/>
      <c r="H141" s="83"/>
    </row>
    <row r="142" spans="2:8" ht="15" customHeight="1" x14ac:dyDescent="0.15">
      <c r="B142" s="83"/>
      <c r="C142" s="83"/>
      <c r="D142" s="83"/>
      <c r="E142" s="83"/>
      <c r="F142" s="83"/>
      <c r="G142" s="83"/>
      <c r="H142" s="83"/>
    </row>
    <row r="143" spans="2:8" ht="15" customHeight="1" x14ac:dyDescent="0.15">
      <c r="B143" s="83"/>
      <c r="C143" s="83"/>
      <c r="D143" s="83"/>
      <c r="E143" s="83"/>
      <c r="F143" s="83"/>
      <c r="G143" s="83"/>
      <c r="H143" s="83"/>
    </row>
    <row r="144" spans="2:8" ht="15" customHeight="1" x14ac:dyDescent="0.15">
      <c r="B144" s="83"/>
      <c r="C144" s="83"/>
      <c r="D144" s="83"/>
      <c r="E144" s="83"/>
      <c r="F144" s="83"/>
      <c r="G144" s="83"/>
      <c r="H144" s="83"/>
    </row>
    <row r="145" spans="2:8" ht="15" customHeight="1" x14ac:dyDescent="0.15">
      <c r="B145" s="83"/>
      <c r="C145" s="83"/>
      <c r="D145" s="83"/>
      <c r="E145" s="83"/>
      <c r="F145" s="83"/>
      <c r="G145" s="83"/>
      <c r="H145" s="83"/>
    </row>
    <row r="146" spans="2:8" ht="15" customHeight="1" x14ac:dyDescent="0.15">
      <c r="B146" s="83"/>
      <c r="C146" s="83"/>
      <c r="D146" s="83"/>
      <c r="E146" s="83"/>
      <c r="F146" s="83"/>
      <c r="G146" s="83"/>
      <c r="H146" s="83"/>
    </row>
    <row r="147" spans="2:8" ht="15" customHeight="1" x14ac:dyDescent="0.15">
      <c r="B147" s="83"/>
      <c r="C147" s="83"/>
      <c r="D147" s="83"/>
      <c r="E147" s="83"/>
      <c r="F147" s="83"/>
      <c r="G147" s="83"/>
      <c r="H147" s="83"/>
    </row>
    <row r="148" spans="2:8" ht="15" customHeight="1" x14ac:dyDescent="0.15">
      <c r="B148" s="83"/>
      <c r="C148" s="83"/>
      <c r="D148" s="83"/>
      <c r="E148" s="83"/>
      <c r="F148" s="83"/>
      <c r="G148" s="83"/>
      <c r="H148" s="83"/>
    </row>
    <row r="149" spans="2:8" ht="15" customHeight="1" x14ac:dyDescent="0.15">
      <c r="B149" s="83"/>
      <c r="C149" s="83"/>
      <c r="D149" s="83"/>
      <c r="E149" s="83"/>
      <c r="F149" s="83"/>
      <c r="G149" s="83"/>
      <c r="H149" s="83"/>
    </row>
    <row r="150" spans="2:8" ht="15" customHeight="1" x14ac:dyDescent="0.15">
      <c r="B150" s="83"/>
      <c r="C150" s="83"/>
      <c r="D150" s="83"/>
      <c r="E150" s="83"/>
      <c r="F150" s="83"/>
      <c r="G150" s="83"/>
      <c r="H150" s="83"/>
    </row>
    <row r="151" spans="2:8" ht="15" customHeight="1" x14ac:dyDescent="0.15">
      <c r="B151" s="83"/>
      <c r="C151" s="83"/>
      <c r="D151" s="83"/>
      <c r="E151" s="83"/>
      <c r="F151" s="83"/>
      <c r="G151" s="83"/>
      <c r="H151" s="83"/>
    </row>
    <row r="152" spans="2:8" ht="15" customHeight="1" x14ac:dyDescent="0.15">
      <c r="B152" s="83"/>
      <c r="C152" s="83"/>
      <c r="D152" s="83"/>
      <c r="E152" s="83"/>
      <c r="F152" s="83"/>
      <c r="G152" s="83"/>
      <c r="H152" s="83"/>
    </row>
    <row r="153" spans="2:8" ht="15" customHeight="1" x14ac:dyDescent="0.15">
      <c r="B153" s="83"/>
      <c r="C153" s="83"/>
      <c r="D153" s="83"/>
      <c r="E153" s="83"/>
      <c r="F153" s="83"/>
      <c r="G153" s="83"/>
      <c r="H153" s="83"/>
    </row>
    <row r="154" spans="2:8" ht="15" customHeight="1" x14ac:dyDescent="0.15">
      <c r="B154" s="83"/>
      <c r="C154" s="83"/>
      <c r="D154" s="83"/>
      <c r="E154" s="83"/>
      <c r="F154" s="83"/>
      <c r="G154" s="83"/>
      <c r="H154" s="83"/>
    </row>
    <row r="155" spans="2:8" ht="15" customHeight="1" x14ac:dyDescent="0.15">
      <c r="B155" s="83"/>
      <c r="C155" s="83"/>
      <c r="D155" s="83"/>
      <c r="E155" s="83"/>
      <c r="F155" s="83"/>
      <c r="G155" s="83"/>
      <c r="H155" s="83"/>
    </row>
    <row r="156" spans="2:8" ht="15" customHeight="1" x14ac:dyDescent="0.15">
      <c r="B156" s="83"/>
      <c r="C156" s="83"/>
      <c r="D156" s="83"/>
      <c r="E156" s="83"/>
      <c r="F156" s="83"/>
      <c r="G156" s="83"/>
      <c r="H156" s="83"/>
    </row>
    <row r="157" spans="2:8" ht="15" customHeight="1" x14ac:dyDescent="0.15">
      <c r="B157" s="83"/>
      <c r="C157" s="83"/>
      <c r="D157" s="83"/>
      <c r="E157" s="83"/>
      <c r="F157" s="83"/>
      <c r="G157" s="83"/>
      <c r="H157" s="83"/>
    </row>
    <row r="158" spans="2:8" ht="15" customHeight="1" x14ac:dyDescent="0.15">
      <c r="B158" s="83"/>
      <c r="C158" s="83"/>
      <c r="D158" s="83"/>
      <c r="E158" s="83"/>
      <c r="F158" s="83"/>
      <c r="G158" s="83"/>
      <c r="H158" s="83"/>
    </row>
    <row r="159" spans="2:8" ht="15" customHeight="1" x14ac:dyDescent="0.15">
      <c r="B159" s="83"/>
      <c r="C159" s="83"/>
      <c r="D159" s="83"/>
      <c r="E159" s="83"/>
      <c r="F159" s="83"/>
      <c r="G159" s="83"/>
      <c r="H159" s="83"/>
    </row>
    <row r="160" spans="2:8" ht="15" customHeight="1" x14ac:dyDescent="0.15">
      <c r="B160" s="83"/>
      <c r="C160" s="83"/>
      <c r="D160" s="83"/>
      <c r="E160" s="83"/>
      <c r="F160" s="83"/>
      <c r="G160" s="83"/>
      <c r="H160" s="83"/>
    </row>
    <row r="161" spans="2:8" ht="15" customHeight="1" x14ac:dyDescent="0.15">
      <c r="B161" s="83"/>
      <c r="C161" s="83"/>
      <c r="D161" s="83"/>
      <c r="E161" s="83"/>
      <c r="F161" s="83"/>
      <c r="G161" s="83"/>
      <c r="H161" s="83"/>
    </row>
    <row r="162" spans="2:8" ht="15" customHeight="1" x14ac:dyDescent="0.15">
      <c r="B162" s="83"/>
      <c r="C162" s="83"/>
      <c r="D162" s="83"/>
      <c r="E162" s="83"/>
      <c r="F162" s="83"/>
      <c r="G162" s="83"/>
      <c r="H162" s="83"/>
    </row>
    <row r="163" spans="2:8" ht="15" customHeight="1" x14ac:dyDescent="0.15">
      <c r="B163" s="83"/>
      <c r="C163" s="83"/>
      <c r="D163" s="83"/>
      <c r="E163" s="83"/>
      <c r="F163" s="83"/>
      <c r="G163" s="83"/>
      <c r="H163" s="83"/>
    </row>
    <row r="164" spans="2:8" ht="15" customHeight="1" x14ac:dyDescent="0.15">
      <c r="B164" s="83"/>
      <c r="C164" s="83"/>
      <c r="D164" s="83"/>
      <c r="E164" s="83"/>
      <c r="F164" s="83"/>
      <c r="G164" s="83"/>
      <c r="H164" s="83"/>
    </row>
    <row r="165" spans="2:8" ht="15" customHeight="1" x14ac:dyDescent="0.15">
      <c r="B165" s="83"/>
      <c r="C165" s="83"/>
      <c r="D165" s="83"/>
      <c r="E165" s="83"/>
      <c r="F165" s="83"/>
      <c r="G165" s="83"/>
      <c r="H165" s="83"/>
    </row>
    <row r="166" spans="2:8" ht="15" customHeight="1" x14ac:dyDescent="0.15">
      <c r="B166" s="83"/>
      <c r="C166" s="83"/>
      <c r="D166" s="83"/>
      <c r="E166" s="83"/>
      <c r="F166" s="83"/>
      <c r="G166" s="83"/>
      <c r="H166" s="83"/>
    </row>
  </sheetData>
  <mergeCells count="85">
    <mergeCell ref="B121:B122"/>
    <mergeCell ref="B130:B131"/>
    <mergeCell ref="B103:D103"/>
    <mergeCell ref="F103:H103"/>
    <mergeCell ref="G104:H104"/>
    <mergeCell ref="C104:D104"/>
    <mergeCell ref="F130:F131"/>
    <mergeCell ref="F107:F108"/>
    <mergeCell ref="F114:F115"/>
    <mergeCell ref="F121:F122"/>
    <mergeCell ref="B107:B108"/>
    <mergeCell ref="B114:B115"/>
    <mergeCell ref="J73:J74"/>
    <mergeCell ref="B78:B79"/>
    <mergeCell ref="B80:B81"/>
    <mergeCell ref="F78:F79"/>
    <mergeCell ref="F80:F81"/>
    <mergeCell ref="B88:B89"/>
    <mergeCell ref="F88:F89"/>
    <mergeCell ref="B86:D86"/>
    <mergeCell ref="F86:H86"/>
    <mergeCell ref="B95:D95"/>
    <mergeCell ref="F95:H95"/>
    <mergeCell ref="O5:P5"/>
    <mergeCell ref="C74:D74"/>
    <mergeCell ref="G74:H74"/>
    <mergeCell ref="C75:D75"/>
    <mergeCell ref="G75:H75"/>
    <mergeCell ref="J9:J10"/>
    <mergeCell ref="J11:J12"/>
    <mergeCell ref="J61:J62"/>
    <mergeCell ref="N61:N62"/>
    <mergeCell ref="J38:J39"/>
    <mergeCell ref="J45:J46"/>
    <mergeCell ref="J52:J53"/>
    <mergeCell ref="N38:N39"/>
    <mergeCell ref="N45:N46"/>
    <mergeCell ref="N52:N53"/>
    <mergeCell ref="G35:H35"/>
    <mergeCell ref="B61:B62"/>
    <mergeCell ref="B52:B53"/>
    <mergeCell ref="F52:F53"/>
    <mergeCell ref="F61:F62"/>
    <mergeCell ref="C35:D35"/>
    <mergeCell ref="F45:F46"/>
    <mergeCell ref="B38:B39"/>
    <mergeCell ref="F38:F39"/>
    <mergeCell ref="B45:B46"/>
    <mergeCell ref="N9:N10"/>
    <mergeCell ref="N11:N12"/>
    <mergeCell ref="N17:P17"/>
    <mergeCell ref="B19:B20"/>
    <mergeCell ref="B11:B12"/>
    <mergeCell ref="F11:F12"/>
    <mergeCell ref="F19:F20"/>
    <mergeCell ref="B17:D17"/>
    <mergeCell ref="F17:H17"/>
    <mergeCell ref="J17:L17"/>
    <mergeCell ref="N19:N20"/>
    <mergeCell ref="K35:L35"/>
    <mergeCell ref="F9:F10"/>
    <mergeCell ref="J19:J20"/>
    <mergeCell ref="F34:H34"/>
    <mergeCell ref="B34:D34"/>
    <mergeCell ref="C6:D6"/>
    <mergeCell ref="G6:H6"/>
    <mergeCell ref="K6:L6"/>
    <mergeCell ref="G5:H5"/>
    <mergeCell ref="K5:L5"/>
    <mergeCell ref="N4:P4"/>
    <mergeCell ref="F73:H73"/>
    <mergeCell ref="B4:D4"/>
    <mergeCell ref="F4:H4"/>
    <mergeCell ref="J4:L4"/>
    <mergeCell ref="B73:D73"/>
    <mergeCell ref="O6:P6"/>
    <mergeCell ref="B9:B10"/>
    <mergeCell ref="B26:D26"/>
    <mergeCell ref="F26:H26"/>
    <mergeCell ref="J26:L26"/>
    <mergeCell ref="N26:P26"/>
    <mergeCell ref="J34:L34"/>
    <mergeCell ref="N34:P34"/>
    <mergeCell ref="O35:P35"/>
    <mergeCell ref="C5:D5"/>
  </mergeCells>
  <phoneticPr fontId="1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20"/>
  <sheetViews>
    <sheetView topLeftCell="A19" zoomScale="70" workbookViewId="0">
      <selection activeCell="H33" sqref="H33"/>
    </sheetView>
  </sheetViews>
  <sheetFormatPr defaultRowHeight="13.5" x14ac:dyDescent="0.15"/>
  <cols>
    <col min="1" max="1" width="2.625" customWidth="1"/>
    <col min="2" max="2" width="26.125" customWidth="1"/>
    <col min="3" max="4" width="10.625" customWidth="1"/>
    <col min="5" max="5" width="2.625" customWidth="1"/>
    <col min="6" max="6" width="26.125" customWidth="1"/>
    <col min="7" max="8" width="10.625" customWidth="1"/>
    <col min="9" max="9" width="2.625" customWidth="1"/>
    <col min="10" max="10" width="26.125" customWidth="1"/>
    <col min="11" max="12" width="10.625" customWidth="1"/>
    <col min="13" max="14" width="2.625" customWidth="1"/>
    <col min="15" max="15" width="17.625" bestFit="1" customWidth="1"/>
    <col min="16" max="17" width="9.25" bestFit="1" customWidth="1"/>
    <col min="20" max="20" width="17.625" bestFit="1" customWidth="1"/>
  </cols>
  <sheetData>
    <row r="1" spans="2:20" x14ac:dyDescent="0.15">
      <c r="B1" s="1" t="s">
        <v>117</v>
      </c>
      <c r="C1" s="1"/>
      <c r="D1" s="1"/>
      <c r="E1" s="1"/>
      <c r="F1" s="1" t="s">
        <v>110</v>
      </c>
      <c r="G1" s="1"/>
      <c r="H1" s="1"/>
      <c r="I1" s="1"/>
      <c r="J1" s="1" t="s">
        <v>106</v>
      </c>
      <c r="K1" s="1"/>
      <c r="L1" s="1"/>
      <c r="M1" s="1"/>
    </row>
    <row r="2" spans="2:20" ht="14.25" thickBot="1" x14ac:dyDescent="0.2">
      <c r="B2" s="3"/>
      <c r="C2" s="3"/>
      <c r="D2" s="3"/>
      <c r="E2" s="1"/>
      <c r="F2" s="3"/>
      <c r="G2" s="3"/>
      <c r="H2" s="3"/>
      <c r="I2" s="1"/>
      <c r="J2" s="3"/>
      <c r="K2" s="3"/>
      <c r="L2" s="3"/>
      <c r="M2" s="1"/>
    </row>
    <row r="3" spans="2:20" x14ac:dyDescent="0.15">
      <c r="B3" s="6" t="s">
        <v>0</v>
      </c>
      <c r="C3" s="7"/>
      <c r="D3" s="8" t="s">
        <v>118</v>
      </c>
      <c r="E3" s="1"/>
      <c r="F3" s="6" t="s">
        <v>0</v>
      </c>
      <c r="G3" s="7"/>
      <c r="H3" s="8" t="s">
        <v>116</v>
      </c>
      <c r="I3" s="1"/>
      <c r="J3" s="6" t="s">
        <v>0</v>
      </c>
      <c r="K3" s="7"/>
      <c r="L3" s="8"/>
      <c r="M3" s="1"/>
      <c r="O3" t="s">
        <v>119</v>
      </c>
      <c r="R3" t="s">
        <v>119</v>
      </c>
    </row>
    <row r="4" spans="2:20" x14ac:dyDescent="0.15">
      <c r="B4" s="9" t="s">
        <v>1</v>
      </c>
      <c r="C4" s="4" t="s">
        <v>38</v>
      </c>
      <c r="D4" s="10">
        <v>630</v>
      </c>
      <c r="E4" s="1"/>
      <c r="F4" s="9" t="s">
        <v>1</v>
      </c>
      <c r="G4" s="4" t="s">
        <v>38</v>
      </c>
      <c r="H4" s="10">
        <v>630</v>
      </c>
      <c r="I4" s="1"/>
      <c r="J4" s="9" t="s">
        <v>1</v>
      </c>
      <c r="K4" s="4" t="s">
        <v>38</v>
      </c>
      <c r="L4" s="10">
        <v>630</v>
      </c>
      <c r="M4" s="1"/>
      <c r="O4" t="s">
        <v>2</v>
      </c>
      <c r="P4" t="s">
        <v>120</v>
      </c>
      <c r="R4" t="s">
        <v>120</v>
      </c>
      <c r="S4" s="26" t="s">
        <v>121</v>
      </c>
      <c r="T4" t="s">
        <v>2</v>
      </c>
    </row>
    <row r="5" spans="2:20" x14ac:dyDescent="0.15">
      <c r="B5" s="9" t="s">
        <v>76</v>
      </c>
      <c r="C5" s="4" t="s">
        <v>77</v>
      </c>
      <c r="D5" s="10">
        <v>6378.1419999999998</v>
      </c>
      <c r="E5" s="1"/>
      <c r="F5" s="9" t="s">
        <v>76</v>
      </c>
      <c r="G5" s="4" t="s">
        <v>77</v>
      </c>
      <c r="H5" s="10">
        <v>6378.1419999999998</v>
      </c>
      <c r="I5" s="1"/>
      <c r="J5" s="9" t="s">
        <v>76</v>
      </c>
      <c r="K5" s="4" t="s">
        <v>77</v>
      </c>
      <c r="L5" s="10">
        <v>6378.1419999999998</v>
      </c>
      <c r="M5" s="1"/>
      <c r="O5">
        <v>5</v>
      </c>
      <c r="P5">
        <v>2400.86</v>
      </c>
      <c r="R5">
        <v>2400</v>
      </c>
      <c r="S5">
        <v>-163.30000000000001</v>
      </c>
      <c r="T5">
        <v>5</v>
      </c>
    </row>
    <row r="6" spans="2:20" ht="14.25" x14ac:dyDescent="0.15">
      <c r="B6" s="9" t="s">
        <v>2</v>
      </c>
      <c r="C6" s="4" t="s">
        <v>41</v>
      </c>
      <c r="D6" s="10">
        <v>5</v>
      </c>
      <c r="E6" s="1"/>
      <c r="F6" s="9" t="s">
        <v>2</v>
      </c>
      <c r="G6" s="4" t="s">
        <v>41</v>
      </c>
      <c r="H6" s="10">
        <v>5</v>
      </c>
      <c r="I6" s="1"/>
      <c r="J6" s="9" t="s">
        <v>2</v>
      </c>
      <c r="K6" s="4" t="s">
        <v>41</v>
      </c>
      <c r="L6" s="10">
        <v>5</v>
      </c>
      <c r="M6" s="1"/>
      <c r="O6">
        <v>30</v>
      </c>
      <c r="P6">
        <v>1124.1099999999999</v>
      </c>
      <c r="R6">
        <v>2000</v>
      </c>
      <c r="S6">
        <v>-161.69999999999999</v>
      </c>
      <c r="T6">
        <v>10</v>
      </c>
    </row>
    <row r="7" spans="2:20" ht="14.25" x14ac:dyDescent="0.15">
      <c r="B7" s="9"/>
      <c r="C7" s="4" t="s">
        <v>42</v>
      </c>
      <c r="D7" s="10">
        <f>D6*PI()/180</f>
        <v>8.7266462599716474E-2</v>
      </c>
      <c r="E7" s="1"/>
      <c r="F7" s="9"/>
      <c r="G7" s="4" t="s">
        <v>42</v>
      </c>
      <c r="H7" s="10">
        <f>H6*PI()/180</f>
        <v>8.7266462599716474E-2</v>
      </c>
      <c r="I7" s="1"/>
      <c r="J7" s="9"/>
      <c r="K7" s="4" t="s">
        <v>42</v>
      </c>
      <c r="L7" s="10">
        <f>L6*PI()/180</f>
        <v>8.7266462599716474E-2</v>
      </c>
      <c r="M7" s="1"/>
      <c r="O7">
        <v>60</v>
      </c>
      <c r="P7">
        <v>716.87</v>
      </c>
      <c r="R7">
        <v>1500</v>
      </c>
      <c r="S7">
        <v>-159.30000000000001</v>
      </c>
      <c r="T7">
        <v>19</v>
      </c>
    </row>
    <row r="8" spans="2:20" x14ac:dyDescent="0.15">
      <c r="B8" s="9" t="s">
        <v>3</v>
      </c>
      <c r="C8" s="4" t="s">
        <v>40</v>
      </c>
      <c r="D8" s="10">
        <f>ACOS(D5*COS(D7)/(D5+D4))-D7</f>
        <v>0.34827593098974707</v>
      </c>
      <c r="E8" s="1"/>
      <c r="F8" s="9" t="s">
        <v>3</v>
      </c>
      <c r="G8" s="4" t="s">
        <v>40</v>
      </c>
      <c r="H8" s="10">
        <f>ACOS(H5*COS(H7)/(H5+H4))-H7</f>
        <v>0.34827593098974707</v>
      </c>
      <c r="I8" s="1"/>
      <c r="J8" s="9" t="s">
        <v>3</v>
      </c>
      <c r="K8" s="4" t="s">
        <v>40</v>
      </c>
      <c r="L8" s="10">
        <f>ACOS(L5*COS(L7)/(L5+L4))-L7</f>
        <v>0.34827593098974707</v>
      </c>
      <c r="M8" s="1"/>
      <c r="O8">
        <v>90</v>
      </c>
      <c r="P8">
        <v>630</v>
      </c>
      <c r="R8">
        <v>1000</v>
      </c>
      <c r="S8">
        <v>-155.69999999999999</v>
      </c>
      <c r="T8">
        <v>36</v>
      </c>
    </row>
    <row r="9" spans="2:20" x14ac:dyDescent="0.15">
      <c r="B9" s="9"/>
      <c r="C9" s="4" t="s">
        <v>39</v>
      </c>
      <c r="D9" s="10">
        <f>D8*180/PI()</f>
        <v>19.954740951702021</v>
      </c>
      <c r="E9" s="1"/>
      <c r="F9" s="9"/>
      <c r="G9" s="4" t="s">
        <v>39</v>
      </c>
      <c r="H9" s="10">
        <f>H8*180/PI()</f>
        <v>19.954740951702021</v>
      </c>
      <c r="I9" s="1"/>
      <c r="J9" s="9"/>
      <c r="K9" s="4" t="s">
        <v>39</v>
      </c>
      <c r="L9" s="10">
        <f>L8*180/PI()</f>
        <v>19.954740951702021</v>
      </c>
      <c r="M9" s="1"/>
      <c r="O9">
        <v>120</v>
      </c>
      <c r="P9">
        <v>716.87</v>
      </c>
      <c r="R9">
        <v>630</v>
      </c>
      <c r="S9">
        <v>-151.69999999999999</v>
      </c>
      <c r="T9">
        <v>90</v>
      </c>
    </row>
    <row r="10" spans="2:20" x14ac:dyDescent="0.15">
      <c r="B10" s="9" t="s">
        <v>4</v>
      </c>
      <c r="C10" s="4" t="s">
        <v>43</v>
      </c>
      <c r="D10" s="11">
        <f>(D5+D4)*SIN(D8)/COS(D7)</f>
        <v>2400.858963480935</v>
      </c>
      <c r="E10" s="1"/>
      <c r="F10" s="9" t="s">
        <v>4</v>
      </c>
      <c r="G10" s="4" t="s">
        <v>43</v>
      </c>
      <c r="H10" s="11">
        <f>(H5+H4)*SIN(H8)/COS(H7)</f>
        <v>2400.858963480935</v>
      </c>
      <c r="I10" s="1"/>
      <c r="J10" s="9" t="s">
        <v>4</v>
      </c>
      <c r="K10" s="4" t="s">
        <v>43</v>
      </c>
      <c r="L10" s="11">
        <f>(L5+L4)*SIN(L8)/COS(L7)</f>
        <v>2400.858963480935</v>
      </c>
      <c r="M10" s="1"/>
      <c r="O10">
        <v>150</v>
      </c>
      <c r="P10">
        <v>1124.1099999999999</v>
      </c>
    </row>
    <row r="11" spans="2:20" x14ac:dyDescent="0.15">
      <c r="B11" s="9" t="s">
        <v>80</v>
      </c>
      <c r="C11" s="4" t="s">
        <v>81</v>
      </c>
      <c r="D11" s="12">
        <f>3*10^8</f>
        <v>300000000</v>
      </c>
      <c r="E11" s="1"/>
      <c r="F11" s="9" t="s">
        <v>80</v>
      </c>
      <c r="G11" s="4" t="s">
        <v>81</v>
      </c>
      <c r="H11" s="12">
        <f>3*10^8</f>
        <v>300000000</v>
      </c>
      <c r="I11" s="1"/>
      <c r="J11" s="9" t="s">
        <v>80</v>
      </c>
      <c r="K11" s="4" t="s">
        <v>81</v>
      </c>
      <c r="L11" s="12">
        <f>3*10^8</f>
        <v>300000000</v>
      </c>
      <c r="M11" s="1"/>
      <c r="O11">
        <v>175</v>
      </c>
      <c r="P11">
        <v>2400.86</v>
      </c>
    </row>
    <row r="12" spans="2:20" ht="14.25" thickBot="1" x14ac:dyDescent="0.2">
      <c r="B12" s="13" t="s">
        <v>92</v>
      </c>
      <c r="C12" s="14" t="s">
        <v>93</v>
      </c>
      <c r="D12" s="15">
        <f>1.38*10^-23</f>
        <v>1.3800000000000001E-23</v>
      </c>
      <c r="E12" s="1"/>
      <c r="F12" s="13" t="s">
        <v>92</v>
      </c>
      <c r="G12" s="14" t="s">
        <v>93</v>
      </c>
      <c r="H12" s="15">
        <f>1.38*10^-23</f>
        <v>1.3800000000000001E-23</v>
      </c>
      <c r="I12" s="1"/>
      <c r="J12" s="13" t="s">
        <v>92</v>
      </c>
      <c r="K12" s="14" t="s">
        <v>93</v>
      </c>
      <c r="L12" s="15">
        <f>1.38*10^-23</f>
        <v>1.3800000000000001E-23</v>
      </c>
      <c r="M12" s="1"/>
    </row>
    <row r="13" spans="2:20" ht="14.25" thickBot="1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O13" t="s">
        <v>116</v>
      </c>
      <c r="R13" t="s">
        <v>116</v>
      </c>
    </row>
    <row r="14" spans="2:20" x14ac:dyDescent="0.15">
      <c r="B14" s="177" t="s">
        <v>10</v>
      </c>
      <c r="C14" s="178"/>
      <c r="D14" s="179"/>
      <c r="E14" s="1"/>
      <c r="F14" s="177" t="s">
        <v>10</v>
      </c>
      <c r="G14" s="178"/>
      <c r="H14" s="179"/>
      <c r="I14" s="1"/>
      <c r="J14" s="177" t="s">
        <v>109</v>
      </c>
      <c r="K14" s="178"/>
      <c r="L14" s="179"/>
      <c r="M14" s="1"/>
      <c r="O14" t="s">
        <v>2</v>
      </c>
      <c r="P14" t="s">
        <v>120</v>
      </c>
      <c r="R14" t="s">
        <v>120</v>
      </c>
      <c r="S14" s="26" t="s">
        <v>121</v>
      </c>
      <c r="T14" t="s">
        <v>2</v>
      </c>
    </row>
    <row r="15" spans="2:20" x14ac:dyDescent="0.15">
      <c r="B15" s="9" t="s">
        <v>6</v>
      </c>
      <c r="C15" s="4" t="s">
        <v>44</v>
      </c>
      <c r="D15" s="10">
        <v>437.48500000000001</v>
      </c>
      <c r="E15" s="1"/>
      <c r="F15" s="9" t="s">
        <v>6</v>
      </c>
      <c r="G15" s="4" t="s">
        <v>44</v>
      </c>
      <c r="H15" s="10">
        <v>437.48500000000001</v>
      </c>
      <c r="I15" s="1"/>
      <c r="J15" s="9" t="s">
        <v>6</v>
      </c>
      <c r="K15" s="4" t="s">
        <v>44</v>
      </c>
      <c r="L15" s="10">
        <v>145.88999999999999</v>
      </c>
      <c r="M15" s="1"/>
      <c r="O15">
        <v>5</v>
      </c>
      <c r="P15">
        <v>2400.86</v>
      </c>
      <c r="R15">
        <v>2400</v>
      </c>
      <c r="S15">
        <v>-169.9</v>
      </c>
      <c r="T15">
        <v>5</v>
      </c>
    </row>
    <row r="16" spans="2:20" ht="14.25" x14ac:dyDescent="0.15">
      <c r="B16" s="34" t="s">
        <v>5</v>
      </c>
      <c r="C16" s="35" t="s">
        <v>45</v>
      </c>
      <c r="D16" s="36">
        <v>0.45</v>
      </c>
      <c r="E16" s="1"/>
      <c r="F16" s="34" t="s">
        <v>5</v>
      </c>
      <c r="G16" s="35" t="s">
        <v>45</v>
      </c>
      <c r="H16" s="36">
        <v>0.1</v>
      </c>
      <c r="I16" s="1"/>
      <c r="J16" s="34" t="s">
        <v>5</v>
      </c>
      <c r="K16" s="35" t="s">
        <v>45</v>
      </c>
      <c r="L16" s="36">
        <v>50</v>
      </c>
      <c r="M16" s="1"/>
      <c r="O16">
        <v>30</v>
      </c>
      <c r="P16">
        <v>1124.1099999999999</v>
      </c>
      <c r="R16">
        <v>2000</v>
      </c>
      <c r="S16">
        <v>-168.3</v>
      </c>
      <c r="T16">
        <v>10</v>
      </c>
    </row>
    <row r="17" spans="2:20" ht="14.25" x14ac:dyDescent="0.15">
      <c r="B17" s="34"/>
      <c r="C17" s="35" t="s">
        <v>78</v>
      </c>
      <c r="D17" s="36">
        <f>10*LOG(D16)</f>
        <v>-3.4678748622465632</v>
      </c>
      <c r="E17" s="1"/>
      <c r="F17" s="34"/>
      <c r="G17" s="35" t="s">
        <v>78</v>
      </c>
      <c r="H17" s="36">
        <f>10*LOG(H16)</f>
        <v>-10</v>
      </c>
      <c r="I17" s="1"/>
      <c r="J17" s="34"/>
      <c r="K17" s="35" t="s">
        <v>78</v>
      </c>
      <c r="L17" s="36">
        <f>10*LOG(L16)</f>
        <v>16.989700043360187</v>
      </c>
      <c r="M17" s="1"/>
      <c r="O17">
        <v>60</v>
      </c>
      <c r="P17">
        <v>716.87</v>
      </c>
      <c r="R17">
        <v>1500</v>
      </c>
      <c r="S17">
        <v>-165.7</v>
      </c>
      <c r="T17">
        <v>19</v>
      </c>
    </row>
    <row r="18" spans="2:20" ht="14.25" x14ac:dyDescent="0.15">
      <c r="B18" s="9" t="s">
        <v>7</v>
      </c>
      <c r="C18" s="4" t="s">
        <v>46</v>
      </c>
      <c r="D18" s="10">
        <v>-2</v>
      </c>
      <c r="E18" s="1"/>
      <c r="F18" s="9" t="s">
        <v>7</v>
      </c>
      <c r="G18" s="4" t="s">
        <v>46</v>
      </c>
      <c r="H18" s="10">
        <v>-2</v>
      </c>
      <c r="I18" s="1"/>
      <c r="J18" s="9" t="s">
        <v>7</v>
      </c>
      <c r="K18" s="4" t="s">
        <v>46</v>
      </c>
      <c r="L18" s="10">
        <v>-2</v>
      </c>
      <c r="M18" s="1"/>
      <c r="O18">
        <v>90</v>
      </c>
      <c r="P18">
        <v>630</v>
      </c>
      <c r="R18">
        <v>1000</v>
      </c>
      <c r="S18">
        <v>-162.19999999999999</v>
      </c>
      <c r="T18">
        <v>36</v>
      </c>
    </row>
    <row r="19" spans="2:20" ht="14.25" x14ac:dyDescent="0.15">
      <c r="B19" s="9" t="s">
        <v>8</v>
      </c>
      <c r="C19" s="4" t="s">
        <v>47</v>
      </c>
      <c r="D19" s="10">
        <v>-2</v>
      </c>
      <c r="E19" s="2"/>
      <c r="F19" s="9" t="s">
        <v>8</v>
      </c>
      <c r="G19" s="4" t="s">
        <v>47</v>
      </c>
      <c r="H19" s="10">
        <v>-2</v>
      </c>
      <c r="I19" s="1"/>
      <c r="J19" s="9" t="s">
        <v>8</v>
      </c>
      <c r="K19" s="4" t="s">
        <v>47</v>
      </c>
      <c r="L19" s="10">
        <v>13</v>
      </c>
      <c r="M19" s="1"/>
      <c r="O19">
        <v>120</v>
      </c>
      <c r="P19">
        <v>716.87</v>
      </c>
      <c r="R19">
        <v>630</v>
      </c>
      <c r="S19">
        <v>-158.19999999999999</v>
      </c>
      <c r="T19">
        <v>90</v>
      </c>
    </row>
    <row r="20" spans="2:20" ht="14.25" x14ac:dyDescent="0.15">
      <c r="B20" s="9" t="s">
        <v>9</v>
      </c>
      <c r="C20" s="4" t="s">
        <v>48</v>
      </c>
      <c r="D20" s="10">
        <f>D17+D18+D19</f>
        <v>-7.4678748622465632</v>
      </c>
      <c r="E20" s="1"/>
      <c r="F20" s="9" t="s">
        <v>9</v>
      </c>
      <c r="G20" s="4" t="s">
        <v>48</v>
      </c>
      <c r="H20" s="10">
        <f>H17+H18+H19</f>
        <v>-14</v>
      </c>
      <c r="I20" s="1"/>
      <c r="J20" s="9" t="s">
        <v>9</v>
      </c>
      <c r="K20" s="4" t="s">
        <v>48</v>
      </c>
      <c r="L20" s="10">
        <f>L17+L18+L19</f>
        <v>27.989700043360187</v>
      </c>
      <c r="M20" s="1"/>
      <c r="O20">
        <v>150</v>
      </c>
      <c r="P20">
        <v>1124.1099999999999</v>
      </c>
    </row>
    <row r="21" spans="2:20" ht="15" thickBot="1" x14ac:dyDescent="0.2">
      <c r="B21" s="13" t="s">
        <v>20</v>
      </c>
      <c r="C21" s="14" t="s">
        <v>49</v>
      </c>
      <c r="D21" s="16">
        <v>0</v>
      </c>
      <c r="E21" s="1"/>
      <c r="F21" s="13" t="s">
        <v>20</v>
      </c>
      <c r="G21" s="14" t="s">
        <v>49</v>
      </c>
      <c r="H21" s="16">
        <v>0</v>
      </c>
      <c r="I21" s="1"/>
      <c r="J21" s="13" t="s">
        <v>20</v>
      </c>
      <c r="K21" s="14" t="s">
        <v>49</v>
      </c>
      <c r="L21" s="16">
        <v>0</v>
      </c>
      <c r="M21" s="1"/>
      <c r="O21">
        <v>175</v>
      </c>
      <c r="P21">
        <v>2400.86</v>
      </c>
    </row>
    <row r="22" spans="2:20" ht="14.25" thickBot="1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20" x14ac:dyDescent="0.15">
      <c r="B23" s="177" t="s">
        <v>11</v>
      </c>
      <c r="C23" s="178"/>
      <c r="D23" s="179"/>
      <c r="E23" s="1"/>
      <c r="F23" s="177" t="s">
        <v>11</v>
      </c>
      <c r="G23" s="178"/>
      <c r="H23" s="179"/>
      <c r="I23" s="1"/>
      <c r="J23" s="177" t="s">
        <v>11</v>
      </c>
      <c r="K23" s="178"/>
      <c r="L23" s="179"/>
      <c r="M23" s="1"/>
    </row>
    <row r="24" spans="2:20" ht="14.25" x14ac:dyDescent="0.15">
      <c r="B24" s="9" t="s">
        <v>12</v>
      </c>
      <c r="C24" s="4" t="s">
        <v>55</v>
      </c>
      <c r="D24" s="17">
        <f>-(20*LOG(4*PI()*D15*10^6*D10/(D11*10^-3)))</f>
        <v>-152.868368496741</v>
      </c>
      <c r="E24" s="1"/>
      <c r="F24" s="9" t="s">
        <v>12</v>
      </c>
      <c r="G24" s="4" t="s">
        <v>55</v>
      </c>
      <c r="H24" s="17">
        <f>-(20*LOG(4*PI()*H15*10^6*H10/(H11*10^-3)))</f>
        <v>-152.868368496741</v>
      </c>
      <c r="I24" s="1"/>
      <c r="J24" s="9" t="s">
        <v>12</v>
      </c>
      <c r="K24" s="4" t="s">
        <v>55</v>
      </c>
      <c r="L24" s="17">
        <f>-(20*LOG(4*PI()*L15*10^6*L10/(L11*10^-3)))</f>
        <v>-143.32961564236689</v>
      </c>
      <c r="M24" s="1"/>
    </row>
    <row r="25" spans="2:20" ht="14.25" x14ac:dyDescent="0.15">
      <c r="B25" s="9" t="s">
        <v>13</v>
      </c>
      <c r="C25" s="4" t="s">
        <v>50</v>
      </c>
      <c r="D25" s="10">
        <v>-3</v>
      </c>
      <c r="E25" s="1"/>
      <c r="F25" s="9" t="s">
        <v>13</v>
      </c>
      <c r="G25" s="4" t="s">
        <v>50</v>
      </c>
      <c r="H25" s="10">
        <v>-3</v>
      </c>
      <c r="I25" s="1"/>
      <c r="J25" s="9" t="s">
        <v>13</v>
      </c>
      <c r="K25" s="4" t="s">
        <v>50</v>
      </c>
      <c r="L25" s="10">
        <v>-3</v>
      </c>
      <c r="M25" s="1"/>
    </row>
    <row r="26" spans="2:20" ht="14.25" x14ac:dyDescent="0.15">
      <c r="B26" s="9" t="s">
        <v>14</v>
      </c>
      <c r="C26" s="4" t="s">
        <v>51</v>
      </c>
      <c r="D26" s="10">
        <v>0</v>
      </c>
      <c r="E26" s="1"/>
      <c r="F26" s="9" t="s">
        <v>14</v>
      </c>
      <c r="G26" s="4" t="s">
        <v>51</v>
      </c>
      <c r="H26" s="10">
        <v>0</v>
      </c>
      <c r="I26" s="1"/>
      <c r="J26" s="9" t="s">
        <v>14</v>
      </c>
      <c r="K26" s="4" t="s">
        <v>51</v>
      </c>
      <c r="L26" s="10">
        <v>0</v>
      </c>
      <c r="M26" s="1"/>
    </row>
    <row r="27" spans="2:20" ht="14.25" customHeight="1" x14ac:dyDescent="0.15">
      <c r="B27" s="9" t="s">
        <v>15</v>
      </c>
      <c r="C27" s="4" t="s">
        <v>52</v>
      </c>
      <c r="D27" s="10">
        <v>0</v>
      </c>
      <c r="E27" s="1"/>
      <c r="F27" s="9" t="s">
        <v>15</v>
      </c>
      <c r="G27" s="4" t="s">
        <v>52</v>
      </c>
      <c r="H27" s="10">
        <v>0</v>
      </c>
      <c r="I27" s="1"/>
      <c r="J27" s="9" t="s">
        <v>15</v>
      </c>
      <c r="K27" s="4" t="s">
        <v>52</v>
      </c>
      <c r="L27" s="10">
        <v>0</v>
      </c>
      <c r="M27" s="1"/>
    </row>
    <row r="28" spans="2:20" ht="14.25" x14ac:dyDescent="0.15">
      <c r="B28" s="9" t="s">
        <v>16</v>
      </c>
      <c r="C28" s="4" t="s">
        <v>53</v>
      </c>
      <c r="D28" s="10">
        <v>0</v>
      </c>
      <c r="E28" s="1"/>
      <c r="F28" s="9" t="s">
        <v>16</v>
      </c>
      <c r="G28" s="4" t="s">
        <v>53</v>
      </c>
      <c r="H28" s="10">
        <v>0</v>
      </c>
      <c r="I28" s="1"/>
      <c r="J28" s="9" t="s">
        <v>16</v>
      </c>
      <c r="K28" s="4" t="s">
        <v>53</v>
      </c>
      <c r="L28" s="10">
        <v>0</v>
      </c>
      <c r="M28" s="1"/>
    </row>
    <row r="29" spans="2:20" ht="15" thickBot="1" x14ac:dyDescent="0.2">
      <c r="B29" s="13" t="s">
        <v>17</v>
      </c>
      <c r="C29" s="14" t="s">
        <v>54</v>
      </c>
      <c r="D29" s="16">
        <f>D24+D25+D26+D27+D28</f>
        <v>-155.868368496741</v>
      </c>
      <c r="E29" s="1"/>
      <c r="F29" s="13" t="s">
        <v>17</v>
      </c>
      <c r="G29" s="14" t="s">
        <v>54</v>
      </c>
      <c r="H29" s="16">
        <f>H24+H25+H26+H27+H28</f>
        <v>-155.868368496741</v>
      </c>
      <c r="I29" s="1"/>
      <c r="J29" s="13" t="s">
        <v>17</v>
      </c>
      <c r="K29" s="14" t="s">
        <v>54</v>
      </c>
      <c r="L29" s="16">
        <f>L24+L25+L26+L27+L28</f>
        <v>-146.32961564236689</v>
      </c>
      <c r="M29" s="1"/>
    </row>
    <row r="30" spans="2:20" ht="14.25" thickBo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2:20" x14ac:dyDescent="0.15">
      <c r="B31" s="177" t="s">
        <v>18</v>
      </c>
      <c r="C31" s="178"/>
      <c r="D31" s="179"/>
      <c r="E31" s="1"/>
      <c r="F31" s="177" t="s">
        <v>18</v>
      </c>
      <c r="G31" s="178"/>
      <c r="H31" s="179"/>
      <c r="I31" s="1"/>
      <c r="J31" s="177" t="s">
        <v>115</v>
      </c>
      <c r="K31" s="178"/>
      <c r="L31" s="179"/>
      <c r="M31" s="1"/>
    </row>
    <row r="32" spans="2:20" ht="14.25" x14ac:dyDescent="0.15">
      <c r="B32" s="9" t="s">
        <v>19</v>
      </c>
      <c r="C32" s="4" t="s">
        <v>56</v>
      </c>
      <c r="D32" s="10">
        <v>0</v>
      </c>
      <c r="E32" s="1"/>
      <c r="F32" s="9" t="s">
        <v>19</v>
      </c>
      <c r="G32" s="4" t="s">
        <v>56</v>
      </c>
      <c r="H32" s="10">
        <v>0</v>
      </c>
      <c r="I32" s="1"/>
      <c r="J32" s="9" t="s">
        <v>19</v>
      </c>
      <c r="K32" s="4" t="s">
        <v>56</v>
      </c>
      <c r="L32" s="10">
        <v>0</v>
      </c>
      <c r="M32" s="1"/>
    </row>
    <row r="33" spans="2:13" ht="14.25" x14ac:dyDescent="0.15">
      <c r="B33" s="9" t="s">
        <v>21</v>
      </c>
      <c r="C33" s="4" t="s">
        <v>57</v>
      </c>
      <c r="D33" s="10">
        <v>18.5</v>
      </c>
      <c r="E33" s="1"/>
      <c r="F33" s="9" t="s">
        <v>21</v>
      </c>
      <c r="G33" s="4" t="s">
        <v>57</v>
      </c>
      <c r="H33" s="10">
        <v>18.5</v>
      </c>
      <c r="I33" s="1"/>
      <c r="J33" s="9" t="s">
        <v>21</v>
      </c>
      <c r="K33" s="4" t="s">
        <v>57</v>
      </c>
      <c r="L33" s="10">
        <v>0</v>
      </c>
      <c r="M33" s="1"/>
    </row>
    <row r="34" spans="2:13" ht="14.25" x14ac:dyDescent="0.15">
      <c r="B34" s="9" t="s">
        <v>22</v>
      </c>
      <c r="C34" s="4" t="s">
        <v>58</v>
      </c>
      <c r="D34" s="10">
        <v>-2</v>
      </c>
      <c r="E34" s="1"/>
      <c r="F34" s="9" t="s">
        <v>22</v>
      </c>
      <c r="G34" s="4" t="s">
        <v>58</v>
      </c>
      <c r="H34" s="10">
        <v>-2</v>
      </c>
      <c r="I34" s="1"/>
      <c r="J34" s="9" t="s">
        <v>22</v>
      </c>
      <c r="K34" s="4" t="s">
        <v>58</v>
      </c>
      <c r="L34" s="10">
        <v>-2</v>
      </c>
      <c r="M34" s="1"/>
    </row>
    <row r="35" spans="2:13" x14ac:dyDescent="0.15">
      <c r="B35" s="9" t="s">
        <v>86</v>
      </c>
      <c r="C35" s="4" t="s">
        <v>87</v>
      </c>
      <c r="D35" s="10">
        <f>10^(-D34/10)</f>
        <v>1.5848931924611136</v>
      </c>
      <c r="E35" s="1"/>
      <c r="F35" s="9" t="s">
        <v>86</v>
      </c>
      <c r="G35" s="4" t="s">
        <v>87</v>
      </c>
      <c r="H35" s="10">
        <f>10^(-H34/10)</f>
        <v>1.5848931924611136</v>
      </c>
      <c r="I35" s="1"/>
      <c r="J35" s="9" t="s">
        <v>86</v>
      </c>
      <c r="K35" s="4" t="s">
        <v>87</v>
      </c>
      <c r="L35" s="10">
        <f>10^(-L34/10)</f>
        <v>1.5848931924611136</v>
      </c>
      <c r="M35" s="1"/>
    </row>
    <row r="36" spans="2:13" x14ac:dyDescent="0.15">
      <c r="B36" s="9" t="s">
        <v>23</v>
      </c>
      <c r="C36" s="4" t="s">
        <v>59</v>
      </c>
      <c r="D36" s="10">
        <f>D20-D21+D29-D32+D33+D34</f>
        <v>-146.83624335898756</v>
      </c>
      <c r="E36" s="1"/>
      <c r="F36" s="9" t="s">
        <v>23</v>
      </c>
      <c r="G36" s="4" t="s">
        <v>59</v>
      </c>
      <c r="H36" s="10">
        <f>H20-H21+H29-H32+H33+H34</f>
        <v>-153.368368496741</v>
      </c>
      <c r="I36" s="1"/>
      <c r="J36" s="9" t="s">
        <v>23</v>
      </c>
      <c r="K36" s="4" t="s">
        <v>59</v>
      </c>
      <c r="L36" s="10">
        <f>L20-L21+L29-L32+L33+L34</f>
        <v>-120.3399155990067</v>
      </c>
      <c r="M36" s="1"/>
    </row>
    <row r="37" spans="2:13" ht="14.25" x14ac:dyDescent="0.15">
      <c r="B37" s="9" t="s">
        <v>24</v>
      </c>
      <c r="C37" s="4" t="s">
        <v>60</v>
      </c>
      <c r="D37" s="10">
        <v>300</v>
      </c>
      <c r="E37" s="1"/>
      <c r="F37" s="9" t="s">
        <v>24</v>
      </c>
      <c r="G37" s="4" t="s">
        <v>60</v>
      </c>
      <c r="H37" s="10">
        <v>300</v>
      </c>
      <c r="I37" s="1"/>
      <c r="J37" s="9" t="s">
        <v>24</v>
      </c>
      <c r="K37" s="4" t="s">
        <v>60</v>
      </c>
      <c r="L37" s="10">
        <v>300</v>
      </c>
      <c r="M37" s="1"/>
    </row>
    <row r="38" spans="2:13" ht="14.25" x14ac:dyDescent="0.15">
      <c r="B38" s="9" t="s">
        <v>25</v>
      </c>
      <c r="C38" s="4" t="s">
        <v>62</v>
      </c>
      <c r="D38" s="10">
        <f>D40</f>
        <v>300</v>
      </c>
      <c r="E38" s="1"/>
      <c r="F38" s="9" t="s">
        <v>25</v>
      </c>
      <c r="G38" s="4" t="s">
        <v>62</v>
      </c>
      <c r="H38" s="10">
        <f>H40</f>
        <v>300</v>
      </c>
      <c r="I38" s="1"/>
      <c r="J38" s="9" t="s">
        <v>25</v>
      </c>
      <c r="K38" s="4" t="s">
        <v>62</v>
      </c>
      <c r="L38" s="10">
        <f>L40</f>
        <v>300</v>
      </c>
      <c r="M38" s="1"/>
    </row>
    <row r="39" spans="2:13" ht="14.25" x14ac:dyDescent="0.15">
      <c r="B39" s="9" t="s">
        <v>26</v>
      </c>
      <c r="C39" s="4" t="s">
        <v>63</v>
      </c>
      <c r="D39" s="10">
        <v>300</v>
      </c>
      <c r="E39" s="1"/>
      <c r="F39" s="9" t="s">
        <v>26</v>
      </c>
      <c r="G39" s="4" t="s">
        <v>63</v>
      </c>
      <c r="H39" s="10">
        <v>300</v>
      </c>
      <c r="I39" s="1"/>
      <c r="J39" s="9" t="s">
        <v>26</v>
      </c>
      <c r="K39" s="4" t="s">
        <v>63</v>
      </c>
      <c r="L39" s="10">
        <v>300</v>
      </c>
      <c r="M39" s="1"/>
    </row>
    <row r="40" spans="2:13" ht="14.25" x14ac:dyDescent="0.15">
      <c r="B40" s="9" t="s">
        <v>61</v>
      </c>
      <c r="C40" s="4" t="s">
        <v>64</v>
      </c>
      <c r="D40" s="10">
        <v>300</v>
      </c>
      <c r="E40" s="1"/>
      <c r="F40" s="9" t="s">
        <v>61</v>
      </c>
      <c r="G40" s="4" t="s">
        <v>64</v>
      </c>
      <c r="H40" s="10">
        <v>300</v>
      </c>
      <c r="I40" s="1"/>
      <c r="J40" s="9" t="s">
        <v>61</v>
      </c>
      <c r="K40" s="4" t="s">
        <v>64</v>
      </c>
      <c r="L40" s="10">
        <v>300</v>
      </c>
      <c r="M40" s="1"/>
    </row>
    <row r="41" spans="2:13" x14ac:dyDescent="0.15">
      <c r="B41" s="9" t="s">
        <v>27</v>
      </c>
      <c r="C41" s="4" t="s">
        <v>66</v>
      </c>
      <c r="D41" s="10">
        <f>D39/D40+1</f>
        <v>2</v>
      </c>
      <c r="E41" s="1"/>
      <c r="F41" s="9" t="s">
        <v>27</v>
      </c>
      <c r="G41" s="4" t="s">
        <v>66</v>
      </c>
      <c r="H41" s="10">
        <f>H39/H40+1</f>
        <v>2</v>
      </c>
      <c r="I41" s="1"/>
      <c r="J41" s="9" t="s">
        <v>27</v>
      </c>
      <c r="K41" s="4" t="s">
        <v>66</v>
      </c>
      <c r="L41" s="10">
        <v>5</v>
      </c>
      <c r="M41" s="1"/>
    </row>
    <row r="42" spans="2:13" x14ac:dyDescent="0.15">
      <c r="B42" s="9"/>
      <c r="C42" s="4" t="s">
        <v>65</v>
      </c>
      <c r="D42" s="10">
        <f>10*LOG(D41)</f>
        <v>3.0102999566398121</v>
      </c>
      <c r="E42" s="1"/>
      <c r="F42" s="9"/>
      <c r="G42" s="4" t="s">
        <v>65</v>
      </c>
      <c r="H42" s="10">
        <f>10*LOG(H41)</f>
        <v>3.0102999566398121</v>
      </c>
      <c r="I42" s="1"/>
      <c r="J42" s="9"/>
      <c r="K42" s="4" t="s">
        <v>65</v>
      </c>
      <c r="L42" s="10">
        <f>10*LOG(L41)</f>
        <v>6.9897000433601884</v>
      </c>
      <c r="M42" s="1"/>
    </row>
    <row r="43" spans="2:13" ht="14.25" x14ac:dyDescent="0.15">
      <c r="B43" s="9" t="s">
        <v>28</v>
      </c>
      <c r="C43" s="4" t="s">
        <v>67</v>
      </c>
      <c r="D43" s="10">
        <f>10*LOG(D37/D35+(1-(1/D35))*D38+(D41-1)*D40)</f>
        <v>27.781512503836435</v>
      </c>
      <c r="E43" s="1"/>
      <c r="F43" s="9" t="s">
        <v>28</v>
      </c>
      <c r="G43" s="4" t="s">
        <v>67</v>
      </c>
      <c r="H43" s="10">
        <f>10*LOG(H37/H35+(1-(1/H35))*H38+(H41-1)*H40)</f>
        <v>27.781512503836435</v>
      </c>
      <c r="I43" s="1"/>
      <c r="J43" s="9" t="s">
        <v>28</v>
      </c>
      <c r="K43" s="4" t="s">
        <v>67</v>
      </c>
      <c r="L43" s="10">
        <f>10*LOG(L37/L35+(1-(1/L35))*L38+(L41-1)*L40)</f>
        <v>31.760912590556813</v>
      </c>
      <c r="M43" s="1"/>
    </row>
    <row r="44" spans="2:13" ht="14.25" x14ac:dyDescent="0.15">
      <c r="B44" s="9" t="s">
        <v>88</v>
      </c>
      <c r="C44" s="4" t="s">
        <v>90</v>
      </c>
      <c r="D44" s="10">
        <v>300</v>
      </c>
      <c r="E44" s="1"/>
      <c r="F44" s="9" t="s">
        <v>88</v>
      </c>
      <c r="G44" s="4" t="s">
        <v>90</v>
      </c>
      <c r="H44" s="10">
        <v>300</v>
      </c>
      <c r="I44" s="1"/>
      <c r="J44" s="9" t="s">
        <v>88</v>
      </c>
      <c r="K44" s="4" t="s">
        <v>90</v>
      </c>
      <c r="L44" s="10">
        <v>300</v>
      </c>
      <c r="M44" s="1"/>
    </row>
    <row r="45" spans="2:13" ht="14.25" x14ac:dyDescent="0.15">
      <c r="B45" s="9" t="s">
        <v>89</v>
      </c>
      <c r="C45" s="4" t="s">
        <v>91</v>
      </c>
      <c r="D45" s="10">
        <f>1.12*D44-50</f>
        <v>286.00000000000006</v>
      </c>
      <c r="E45" s="1"/>
      <c r="F45" s="9" t="s">
        <v>89</v>
      </c>
      <c r="G45" s="4" t="s">
        <v>91</v>
      </c>
      <c r="H45" s="10">
        <f>1.12*H44-50</f>
        <v>286.00000000000006</v>
      </c>
      <c r="I45" s="1"/>
      <c r="J45" s="9" t="s">
        <v>89</v>
      </c>
      <c r="K45" s="4" t="s">
        <v>91</v>
      </c>
      <c r="L45" s="10">
        <f>1.12*L44-50</f>
        <v>286.00000000000006</v>
      </c>
      <c r="M45" s="1"/>
    </row>
    <row r="46" spans="2:13" ht="14.25" x14ac:dyDescent="0.15">
      <c r="B46" s="9" t="s">
        <v>29</v>
      </c>
      <c r="C46" s="4" t="s">
        <v>68</v>
      </c>
      <c r="D46" s="10">
        <f>D45*(1-10^(-D26/10))</f>
        <v>0</v>
      </c>
      <c r="E46" s="1"/>
      <c r="F46" s="9" t="s">
        <v>29</v>
      </c>
      <c r="G46" s="4" t="s">
        <v>68</v>
      </c>
      <c r="H46" s="10">
        <f>H45*(1-10^(-H26/10))</f>
        <v>0</v>
      </c>
      <c r="I46" s="1"/>
      <c r="J46" s="9" t="s">
        <v>29</v>
      </c>
      <c r="K46" s="4" t="s">
        <v>68</v>
      </c>
      <c r="L46" s="10">
        <f>L45*(1-10^(-L26/10))</f>
        <v>0</v>
      </c>
      <c r="M46" s="1"/>
    </row>
    <row r="47" spans="2:13" x14ac:dyDescent="0.15">
      <c r="B47" s="9" t="s">
        <v>69</v>
      </c>
      <c r="C47" s="4" t="s">
        <v>94</v>
      </c>
      <c r="D47" s="10">
        <v>5</v>
      </c>
      <c r="E47" s="1"/>
      <c r="F47" s="9" t="s">
        <v>69</v>
      </c>
      <c r="G47" s="4" t="s">
        <v>94</v>
      </c>
      <c r="H47" s="10">
        <v>5</v>
      </c>
      <c r="I47" s="1"/>
      <c r="J47" s="9" t="s">
        <v>69</v>
      </c>
      <c r="K47" s="4" t="s">
        <v>94</v>
      </c>
      <c r="L47" s="10">
        <v>5</v>
      </c>
      <c r="M47" s="1"/>
    </row>
    <row r="48" spans="2:13" x14ac:dyDescent="0.15">
      <c r="B48" s="9" t="s">
        <v>30</v>
      </c>
      <c r="C48" s="4" t="s">
        <v>96</v>
      </c>
      <c r="D48" s="33">
        <f>D12*D43*D47</f>
        <v>1.9169243627647141E-21</v>
      </c>
      <c r="E48" s="1"/>
      <c r="F48" s="9" t="s">
        <v>30</v>
      </c>
      <c r="G48" s="4" t="s">
        <v>96</v>
      </c>
      <c r="H48" s="17">
        <f>H12*H43*H47</f>
        <v>1.9169243627647141E-21</v>
      </c>
      <c r="I48" s="1"/>
      <c r="J48" s="9" t="s">
        <v>30</v>
      </c>
      <c r="K48" s="4" t="s">
        <v>96</v>
      </c>
      <c r="L48" s="17">
        <f>L12*L43*L47</f>
        <v>2.19150296874842E-21</v>
      </c>
      <c r="M48" s="1"/>
    </row>
    <row r="49" spans="2:13" x14ac:dyDescent="0.15">
      <c r="B49" s="9"/>
      <c r="C49" s="4" t="s">
        <v>95</v>
      </c>
      <c r="D49" s="17">
        <f>10*LOG(D48)</f>
        <v>-207.17395023001941</v>
      </c>
      <c r="E49" s="1"/>
      <c r="F49" s="9"/>
      <c r="G49" s="4" t="s">
        <v>95</v>
      </c>
      <c r="H49" s="17">
        <f>10*LOG(H48)</f>
        <v>-207.17395023001941</v>
      </c>
      <c r="I49" s="1"/>
      <c r="J49" s="9"/>
      <c r="K49" s="4" t="s">
        <v>95</v>
      </c>
      <c r="L49" s="17">
        <f>10*LOG(L48)</f>
        <v>-206.5925793668687</v>
      </c>
      <c r="M49" s="1"/>
    </row>
    <row r="50" spans="2:13" ht="14.25" x14ac:dyDescent="0.15">
      <c r="B50" s="9" t="s">
        <v>31</v>
      </c>
      <c r="C50" s="4" t="s">
        <v>70</v>
      </c>
      <c r="D50" s="17">
        <f>10*LOG(D12)+D43</f>
        <v>-200.81969663215119</v>
      </c>
      <c r="E50" s="1"/>
      <c r="F50" s="9" t="s">
        <v>31</v>
      </c>
      <c r="G50" s="4" t="s">
        <v>70</v>
      </c>
      <c r="H50" s="17">
        <f>10*LOG(H12)+H43</f>
        <v>-200.81969663215119</v>
      </c>
      <c r="I50" s="1"/>
      <c r="J50" s="9" t="s">
        <v>31</v>
      </c>
      <c r="K50" s="4" t="s">
        <v>70</v>
      </c>
      <c r="L50" s="17">
        <f>10*LOG(L12)+L43</f>
        <v>-196.84029654543082</v>
      </c>
      <c r="M50" s="1"/>
    </row>
    <row r="51" spans="2:13" x14ac:dyDescent="0.15">
      <c r="B51" s="37" t="s">
        <v>125</v>
      </c>
      <c r="C51" s="38" t="s">
        <v>127</v>
      </c>
      <c r="D51" s="39">
        <f>D33+D34</f>
        <v>16.5</v>
      </c>
      <c r="E51" s="1"/>
      <c r="F51" s="37" t="s">
        <v>125</v>
      </c>
      <c r="G51" s="38" t="s">
        <v>127</v>
      </c>
      <c r="H51" s="39">
        <f>H33+H34</f>
        <v>16.5</v>
      </c>
      <c r="I51" s="1"/>
      <c r="J51" s="37" t="s">
        <v>125</v>
      </c>
      <c r="K51" s="38" t="s">
        <v>127</v>
      </c>
      <c r="L51" s="39">
        <f>L33+L34</f>
        <v>-2</v>
      </c>
      <c r="M51" s="1"/>
    </row>
    <row r="52" spans="2:13" ht="14.25" thickBot="1" x14ac:dyDescent="0.2">
      <c r="B52" s="13" t="s">
        <v>32</v>
      </c>
      <c r="C52" s="14" t="s">
        <v>97</v>
      </c>
      <c r="D52" s="16">
        <f>D33+D34-D43</f>
        <v>-11.281512503836435</v>
      </c>
      <c r="E52" s="1"/>
      <c r="F52" s="13" t="s">
        <v>32</v>
      </c>
      <c r="G52" s="14" t="s">
        <v>97</v>
      </c>
      <c r="H52" s="16">
        <f>H33+H34-H43</f>
        <v>-11.281512503836435</v>
      </c>
      <c r="I52" s="1"/>
      <c r="J52" s="13" t="s">
        <v>32</v>
      </c>
      <c r="K52" s="14" t="s">
        <v>97</v>
      </c>
      <c r="L52" s="16">
        <f>L33+L34-L43</f>
        <v>-33.760912590556813</v>
      </c>
      <c r="M52" s="1"/>
    </row>
    <row r="53" spans="2:13" ht="14.25" thickBo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3" ht="14.25" x14ac:dyDescent="0.15">
      <c r="B54" s="6" t="s">
        <v>33</v>
      </c>
      <c r="C54" s="7" t="s">
        <v>71</v>
      </c>
      <c r="D54" s="8">
        <v>-6</v>
      </c>
      <c r="E54" s="1"/>
      <c r="F54" s="6" t="s">
        <v>33</v>
      </c>
      <c r="G54" s="7" t="s">
        <v>71</v>
      </c>
      <c r="H54" s="8">
        <v>0</v>
      </c>
      <c r="I54" s="1"/>
      <c r="J54" s="6" t="s">
        <v>33</v>
      </c>
      <c r="K54" s="7" t="s">
        <v>71</v>
      </c>
      <c r="L54" s="8">
        <v>-6</v>
      </c>
      <c r="M54" s="1"/>
    </row>
    <row r="55" spans="2:13" ht="14.25" x14ac:dyDescent="0.15">
      <c r="B55" s="9" t="s">
        <v>111</v>
      </c>
      <c r="C55" s="4" t="s">
        <v>112</v>
      </c>
      <c r="D55" s="10">
        <v>-1</v>
      </c>
      <c r="E55" s="1"/>
      <c r="F55" s="9" t="s">
        <v>111</v>
      </c>
      <c r="G55" s="4" t="s">
        <v>112</v>
      </c>
      <c r="H55" s="10">
        <v>-1</v>
      </c>
      <c r="I55" s="1"/>
      <c r="J55" s="9" t="s">
        <v>111</v>
      </c>
      <c r="K55" s="4" t="s">
        <v>112</v>
      </c>
      <c r="L55" s="10">
        <v>-1</v>
      </c>
      <c r="M55" s="1"/>
    </row>
    <row r="56" spans="2:13" ht="14.25" x14ac:dyDescent="0.15">
      <c r="B56" s="27" t="s">
        <v>113</v>
      </c>
      <c r="C56" s="28" t="s">
        <v>114</v>
      </c>
      <c r="D56" s="29">
        <f>D54+D55</f>
        <v>-7</v>
      </c>
      <c r="E56" s="1"/>
      <c r="F56" s="27" t="s">
        <v>113</v>
      </c>
      <c r="G56" s="28" t="s">
        <v>114</v>
      </c>
      <c r="H56" s="29">
        <f>H54+H55</f>
        <v>-1</v>
      </c>
      <c r="I56" s="1"/>
      <c r="J56" s="27" t="s">
        <v>113</v>
      </c>
      <c r="K56" s="28" t="s">
        <v>114</v>
      </c>
      <c r="L56" s="29">
        <f>L54+L55</f>
        <v>-7</v>
      </c>
      <c r="M56" s="1"/>
    </row>
    <row r="57" spans="2:13" ht="14.25" x14ac:dyDescent="0.15">
      <c r="B57" s="18" t="s">
        <v>34</v>
      </c>
      <c r="C57" s="5" t="s">
        <v>72</v>
      </c>
      <c r="D57" s="19">
        <v>1200</v>
      </c>
      <c r="E57" s="1"/>
      <c r="F57" s="18" t="s">
        <v>34</v>
      </c>
      <c r="G57" s="5" t="s">
        <v>72</v>
      </c>
      <c r="H57" s="19">
        <v>1200</v>
      </c>
      <c r="I57" s="1"/>
      <c r="J57" s="18" t="s">
        <v>34</v>
      </c>
      <c r="K57" s="5" t="s">
        <v>72</v>
      </c>
      <c r="L57" s="19">
        <v>1200</v>
      </c>
      <c r="M57" s="1"/>
    </row>
    <row r="58" spans="2:13" ht="14.25" x14ac:dyDescent="0.15">
      <c r="B58" s="18"/>
      <c r="C58" s="5" t="s">
        <v>73</v>
      </c>
      <c r="D58" s="19">
        <f>10*LOG(D57)</f>
        <v>30.791812460476248</v>
      </c>
      <c r="E58" s="1"/>
      <c r="F58" s="18"/>
      <c r="G58" s="5" t="s">
        <v>73</v>
      </c>
      <c r="H58" s="19">
        <f>10*LOG(H57)</f>
        <v>30.791812460476248</v>
      </c>
      <c r="I58" s="1"/>
      <c r="J58" s="18"/>
      <c r="K58" s="5" t="s">
        <v>73</v>
      </c>
      <c r="L58" s="19">
        <f>10*LOG(L57)</f>
        <v>30.791812460476248</v>
      </c>
      <c r="M58" s="1"/>
    </row>
    <row r="59" spans="2:13" ht="14.25" x14ac:dyDescent="0.15">
      <c r="B59" s="9" t="s">
        <v>99</v>
      </c>
      <c r="C59" s="4" t="s">
        <v>100</v>
      </c>
      <c r="D59" s="10">
        <f>10^-6</f>
        <v>9.9999999999999995E-7</v>
      </c>
      <c r="E59" s="1"/>
      <c r="F59" s="9" t="s">
        <v>99</v>
      </c>
      <c r="G59" s="4" t="s">
        <v>100</v>
      </c>
      <c r="H59" s="10">
        <f>10^-6</f>
        <v>9.9999999999999995E-7</v>
      </c>
      <c r="I59" s="1"/>
      <c r="J59" s="9" t="s">
        <v>99</v>
      </c>
      <c r="K59" s="4" t="s">
        <v>100</v>
      </c>
      <c r="L59" s="10">
        <f>10^-6</f>
        <v>9.9999999999999995E-7</v>
      </c>
      <c r="M59" s="1"/>
    </row>
    <row r="60" spans="2:13" ht="14.25" x14ac:dyDescent="0.15">
      <c r="B60" s="9" t="s">
        <v>35</v>
      </c>
      <c r="C60" s="4" t="s">
        <v>74</v>
      </c>
      <c r="D60" s="10">
        <f>D36-D50</f>
        <v>53.983453273163633</v>
      </c>
      <c r="E60" s="1"/>
      <c r="F60" s="9" t="s">
        <v>35</v>
      </c>
      <c r="G60" s="4" t="s">
        <v>74</v>
      </c>
      <c r="H60" s="10">
        <f>H36-H50</f>
        <v>47.451328135410193</v>
      </c>
      <c r="I60" s="1"/>
      <c r="J60" s="9" t="s">
        <v>35</v>
      </c>
      <c r="K60" s="4" t="s">
        <v>74</v>
      </c>
      <c r="L60" s="10">
        <f>L36-L50</f>
        <v>76.500380946424116</v>
      </c>
      <c r="M60" s="1"/>
    </row>
    <row r="61" spans="2:13" ht="14.25" x14ac:dyDescent="0.15">
      <c r="B61" s="9" t="s">
        <v>37</v>
      </c>
      <c r="C61" s="4" t="s">
        <v>101</v>
      </c>
      <c r="D61" s="10">
        <v>10.5</v>
      </c>
      <c r="E61" s="1"/>
      <c r="F61" s="9" t="s">
        <v>37</v>
      </c>
      <c r="G61" s="4" t="s">
        <v>101</v>
      </c>
      <c r="H61" s="10">
        <v>10.5</v>
      </c>
      <c r="I61" s="1"/>
      <c r="J61" s="9" t="s">
        <v>37</v>
      </c>
      <c r="K61" s="4" t="s">
        <v>101</v>
      </c>
      <c r="L61" s="10">
        <v>10.5</v>
      </c>
      <c r="M61" s="1"/>
    </row>
    <row r="62" spans="2:13" ht="14.25" x14ac:dyDescent="0.15">
      <c r="B62" s="9" t="s">
        <v>36</v>
      </c>
      <c r="C62" s="4" t="s">
        <v>75</v>
      </c>
      <c r="D62" s="10">
        <f>D61-D55-D54+D58</f>
        <v>48.291812460476251</v>
      </c>
      <c r="E62" s="1"/>
      <c r="F62" s="9" t="s">
        <v>36</v>
      </c>
      <c r="G62" s="4" t="s">
        <v>75</v>
      </c>
      <c r="H62" s="10">
        <f>H61-H55-H54+H58</f>
        <v>42.291812460476251</v>
      </c>
      <c r="I62" s="1"/>
      <c r="J62" s="9" t="s">
        <v>36</v>
      </c>
      <c r="K62" s="4" t="s">
        <v>75</v>
      </c>
      <c r="L62" s="10">
        <f>L61-L55-L54+L58</f>
        <v>48.291812460476251</v>
      </c>
      <c r="M62" s="1"/>
    </row>
    <row r="63" spans="2:13" ht="14.25" thickBot="1" x14ac:dyDescent="0.2">
      <c r="B63" s="30" t="s">
        <v>102</v>
      </c>
      <c r="C63" s="31" t="s">
        <v>103</v>
      </c>
      <c r="D63" s="32">
        <f>D60-D62</f>
        <v>5.6916408126873819</v>
      </c>
      <c r="E63" s="1"/>
      <c r="F63" s="30" t="s">
        <v>102</v>
      </c>
      <c r="G63" s="31" t="s">
        <v>103</v>
      </c>
      <c r="H63" s="32">
        <f>H60-H62</f>
        <v>5.1595156749339424</v>
      </c>
      <c r="I63" s="1"/>
      <c r="J63" s="30" t="s">
        <v>102</v>
      </c>
      <c r="K63" s="31" t="s">
        <v>103</v>
      </c>
      <c r="L63" s="32">
        <f>L60-L62</f>
        <v>28.208568485947865</v>
      </c>
      <c r="M63" s="1"/>
    </row>
    <row r="64" spans="2:13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2:12" x14ac:dyDescent="0.15">
      <c r="B65" s="26" t="s">
        <v>124</v>
      </c>
      <c r="C65" s="26" t="s">
        <v>123</v>
      </c>
      <c r="D65">
        <f>D20+D29</f>
        <v>-163.33624335898756</v>
      </c>
      <c r="F65" s="26" t="s">
        <v>121</v>
      </c>
      <c r="G65" s="26" t="s">
        <v>123</v>
      </c>
      <c r="H65">
        <f>H20+H29</f>
        <v>-169.868368496741</v>
      </c>
      <c r="J65" s="26" t="s">
        <v>121</v>
      </c>
      <c r="K65" s="26" t="s">
        <v>123</v>
      </c>
      <c r="L65">
        <f>L20+L29</f>
        <v>-118.3399155990067</v>
      </c>
    </row>
    <row r="66" spans="2:12" x14ac:dyDescent="0.15">
      <c r="B66" s="26" t="s">
        <v>122</v>
      </c>
      <c r="C66" s="26" t="s">
        <v>123</v>
      </c>
      <c r="D66">
        <f>D20+D29+(D33+D34)</f>
        <v>-146.83624335898756</v>
      </c>
      <c r="F66" s="26" t="s">
        <v>122</v>
      </c>
      <c r="G66" s="26" t="s">
        <v>123</v>
      </c>
      <c r="H66">
        <f>H20+H29+(H33+H34)</f>
        <v>-153.368368496741</v>
      </c>
      <c r="J66" s="26" t="s">
        <v>122</v>
      </c>
      <c r="K66" s="26" t="s">
        <v>123</v>
      </c>
      <c r="L66">
        <f>L20+L29+(L33+L34)</f>
        <v>-120.3399155990067</v>
      </c>
    </row>
    <row r="70" spans="2:12" ht="14.25" thickBot="1" x14ac:dyDescent="0.2">
      <c r="B70" s="220" t="s">
        <v>199</v>
      </c>
      <c r="C70" s="220"/>
      <c r="D70" s="220"/>
    </row>
    <row r="71" spans="2:12" x14ac:dyDescent="0.15">
      <c r="B71" s="41" t="s">
        <v>128</v>
      </c>
      <c r="C71" s="42"/>
      <c r="D71" s="43"/>
    </row>
    <row r="72" spans="2:12" x14ac:dyDescent="0.15">
      <c r="B72" s="44" t="s">
        <v>0</v>
      </c>
      <c r="C72" s="45"/>
      <c r="D72" s="46" t="s">
        <v>129</v>
      </c>
    </row>
    <row r="73" spans="2:12" x14ac:dyDescent="0.15">
      <c r="B73" s="44" t="s">
        <v>1</v>
      </c>
      <c r="C73" s="45"/>
      <c r="D73" s="46">
        <v>650</v>
      </c>
    </row>
    <row r="74" spans="2:12" x14ac:dyDescent="0.15">
      <c r="B74" s="44" t="s">
        <v>130</v>
      </c>
      <c r="C74" s="45" t="s">
        <v>131</v>
      </c>
      <c r="D74" s="46" t="e">
        <f>-6378.142*SIN(RADIANS($C$6))+SQRT((6378.142*SIN(RADIANS(D75)))^2+(2*6378.142*D73+D73^2))</f>
        <v>#VALUE!</v>
      </c>
    </row>
    <row r="75" spans="2:12" ht="14.25" thickBot="1" x14ac:dyDescent="0.2">
      <c r="B75" s="47" t="s">
        <v>132</v>
      </c>
      <c r="C75" s="48" t="s">
        <v>200</v>
      </c>
      <c r="D75" s="49">
        <v>10</v>
      </c>
    </row>
    <row r="76" spans="2:12" ht="14.25" thickBot="1" x14ac:dyDescent="0.2">
      <c r="B76" s="50"/>
      <c r="C76" s="40"/>
      <c r="D76" s="40"/>
    </row>
    <row r="77" spans="2:12" ht="14.25" x14ac:dyDescent="0.15">
      <c r="B77" s="41" t="s">
        <v>133</v>
      </c>
      <c r="C77" s="42" t="s">
        <v>134</v>
      </c>
      <c r="D77" s="43">
        <v>400</v>
      </c>
    </row>
    <row r="78" spans="2:12" x14ac:dyDescent="0.15">
      <c r="B78" s="44" t="s">
        <v>135</v>
      </c>
      <c r="C78" s="45" t="s">
        <v>136</v>
      </c>
      <c r="D78" s="46">
        <v>440</v>
      </c>
    </row>
    <row r="79" spans="2:12" ht="14.25" thickBot="1" x14ac:dyDescent="0.2">
      <c r="B79" s="47" t="s">
        <v>137</v>
      </c>
      <c r="C79" s="48" t="s">
        <v>138</v>
      </c>
      <c r="D79" s="49">
        <f>3*10^8/(D78*10^6)</f>
        <v>0.68181818181818177</v>
      </c>
    </row>
    <row r="80" spans="2:12" ht="14.25" thickBot="1" x14ac:dyDescent="0.2">
      <c r="B80" s="50"/>
      <c r="C80" s="40"/>
      <c r="D80" s="40"/>
    </row>
    <row r="81" spans="2:4" ht="14.25" x14ac:dyDescent="0.15">
      <c r="B81" s="41" t="s">
        <v>139</v>
      </c>
      <c r="C81" s="42" t="s">
        <v>140</v>
      </c>
      <c r="D81" s="43">
        <v>-2</v>
      </c>
    </row>
    <row r="82" spans="2:4" ht="14.25" x14ac:dyDescent="0.15">
      <c r="B82" s="44" t="s">
        <v>141</v>
      </c>
      <c r="C82" s="45" t="s">
        <v>142</v>
      </c>
      <c r="D82" s="46">
        <v>-2</v>
      </c>
    </row>
    <row r="83" spans="2:4" ht="14.25" x14ac:dyDescent="0.15">
      <c r="B83" s="44" t="s">
        <v>143</v>
      </c>
      <c r="C83" s="45" t="s">
        <v>144</v>
      </c>
      <c r="D83" s="46">
        <f>10*LOG10(D77*10^-3)+D81+D82</f>
        <v>-7.9794000867203758</v>
      </c>
    </row>
    <row r="84" spans="2:4" ht="14.25" x14ac:dyDescent="0.15">
      <c r="B84" s="44" t="s">
        <v>12</v>
      </c>
      <c r="C84" s="45" t="s">
        <v>145</v>
      </c>
      <c r="D84" s="46" t="e">
        <f>-(20*LOG(40*PI()/3)+20*LOG(D78)+20*LOG(D74))</f>
        <v>#VALUE!</v>
      </c>
    </row>
    <row r="85" spans="2:4" ht="14.25" x14ac:dyDescent="0.15">
      <c r="B85" s="44" t="s">
        <v>146</v>
      </c>
      <c r="C85" s="45" t="s">
        <v>147</v>
      </c>
      <c r="D85" s="46">
        <v>-3</v>
      </c>
    </row>
    <row r="86" spans="2:4" ht="14.25" x14ac:dyDescent="0.15">
      <c r="B86" s="44" t="s">
        <v>148</v>
      </c>
      <c r="C86" s="45" t="s">
        <v>149</v>
      </c>
      <c r="D86" s="46">
        <v>0</v>
      </c>
    </row>
    <row r="87" spans="2:4" ht="14.25" x14ac:dyDescent="0.15">
      <c r="B87" s="44" t="s">
        <v>15</v>
      </c>
      <c r="C87" s="45" t="s">
        <v>150</v>
      </c>
      <c r="D87" s="46">
        <v>0</v>
      </c>
    </row>
    <row r="88" spans="2:4" ht="15" thickBot="1" x14ac:dyDescent="0.2">
      <c r="B88" s="47" t="s">
        <v>151</v>
      </c>
      <c r="C88" s="48" t="s">
        <v>152</v>
      </c>
      <c r="D88" s="49" t="e">
        <f>D84+D85+D86+D87</f>
        <v>#VALUE!</v>
      </c>
    </row>
    <row r="89" spans="2:4" ht="14.25" thickBot="1" x14ac:dyDescent="0.2">
      <c r="B89" s="50"/>
      <c r="C89" s="40"/>
      <c r="D89" s="40"/>
    </row>
    <row r="90" spans="2:4" x14ac:dyDescent="0.15">
      <c r="B90" s="221" t="s">
        <v>109</v>
      </c>
      <c r="C90" s="222"/>
      <c r="D90" s="223"/>
    </row>
    <row r="91" spans="2:4" x14ac:dyDescent="0.15">
      <c r="B91" s="44" t="s">
        <v>153</v>
      </c>
      <c r="C91" s="45"/>
      <c r="D91" s="46"/>
    </row>
    <row r="92" spans="2:4" ht="14.25" x14ac:dyDescent="0.15">
      <c r="B92" s="44" t="s">
        <v>154</v>
      </c>
      <c r="C92" s="45" t="s">
        <v>155</v>
      </c>
      <c r="D92" s="46"/>
    </row>
    <row r="93" spans="2:4" ht="14.25" x14ac:dyDescent="0.15">
      <c r="B93" s="44" t="s">
        <v>156</v>
      </c>
      <c r="C93" s="45" t="s">
        <v>157</v>
      </c>
      <c r="D93" s="46">
        <v>18.5</v>
      </c>
    </row>
    <row r="94" spans="2:4" ht="14.25" x14ac:dyDescent="0.15">
      <c r="B94" s="224" t="s">
        <v>158</v>
      </c>
      <c r="C94" s="45" t="s">
        <v>159</v>
      </c>
      <c r="D94" s="46">
        <v>-2</v>
      </c>
    </row>
    <row r="95" spans="2:4" ht="14.25" x14ac:dyDescent="0.15">
      <c r="B95" s="225"/>
      <c r="C95" s="45" t="s">
        <v>160</v>
      </c>
      <c r="D95" s="46">
        <f>10^(-D94/10)</f>
        <v>1.5848931924611136</v>
      </c>
    </row>
    <row r="96" spans="2:4" ht="14.25" x14ac:dyDescent="0.15">
      <c r="B96" s="44" t="s">
        <v>161</v>
      </c>
      <c r="C96" s="45" t="s">
        <v>162</v>
      </c>
      <c r="D96" s="46">
        <v>300</v>
      </c>
    </row>
    <row r="97" spans="2:4" ht="14.25" x14ac:dyDescent="0.15">
      <c r="B97" s="44" t="s">
        <v>163</v>
      </c>
      <c r="C97" s="45" t="s">
        <v>164</v>
      </c>
      <c r="D97" s="46">
        <v>300</v>
      </c>
    </row>
    <row r="98" spans="2:4" ht="14.25" x14ac:dyDescent="0.15">
      <c r="B98" s="44" t="s">
        <v>165</v>
      </c>
      <c r="C98" s="45" t="s">
        <v>166</v>
      </c>
      <c r="D98" s="46">
        <v>300</v>
      </c>
    </row>
    <row r="99" spans="2:4" x14ac:dyDescent="0.15">
      <c r="B99" s="224" t="s">
        <v>27</v>
      </c>
      <c r="C99" s="45" t="s">
        <v>167</v>
      </c>
      <c r="D99" s="46">
        <v>2</v>
      </c>
    </row>
    <row r="100" spans="2:4" x14ac:dyDescent="0.15">
      <c r="B100" s="225"/>
      <c r="C100" s="45" t="s">
        <v>168</v>
      </c>
      <c r="D100" s="46">
        <f>10^(D99/10)</f>
        <v>1.5848931924611136</v>
      </c>
    </row>
    <row r="101" spans="2:4" x14ac:dyDescent="0.15">
      <c r="B101" s="44" t="s">
        <v>69</v>
      </c>
      <c r="C101" s="45" t="s">
        <v>169</v>
      </c>
      <c r="D101" s="46">
        <v>5</v>
      </c>
    </row>
    <row r="102" spans="2:4" x14ac:dyDescent="0.15">
      <c r="B102" s="44" t="s">
        <v>170</v>
      </c>
      <c r="C102" s="45" t="s">
        <v>171</v>
      </c>
      <c r="D102" s="46">
        <f>1.38*10^-23</f>
        <v>1.3800000000000001E-23</v>
      </c>
    </row>
    <row r="103" spans="2:4" ht="14.25" x14ac:dyDescent="0.15">
      <c r="B103" s="44" t="s">
        <v>172</v>
      </c>
      <c r="C103" s="45" t="s">
        <v>173</v>
      </c>
      <c r="D103" s="46">
        <f>10*LOG10(D96+((D95-1)/D95)*D97+(D99-1)*D98)</f>
        <v>28.516941351512067</v>
      </c>
    </row>
    <row r="104" spans="2:4" x14ac:dyDescent="0.15">
      <c r="B104" s="44" t="s">
        <v>125</v>
      </c>
      <c r="C104" s="45" t="s">
        <v>174</v>
      </c>
      <c r="D104" s="46">
        <f>D93+D94</f>
        <v>16.5</v>
      </c>
    </row>
    <row r="105" spans="2:4" ht="14.25" thickBot="1" x14ac:dyDescent="0.2">
      <c r="B105" s="47" t="s">
        <v>175</v>
      </c>
      <c r="C105" s="48" t="s">
        <v>176</v>
      </c>
      <c r="D105" s="49">
        <f>D104-D103</f>
        <v>-12.016941351512067</v>
      </c>
    </row>
    <row r="106" spans="2:4" ht="14.25" thickBot="1" x14ac:dyDescent="0.2">
      <c r="B106" s="50"/>
      <c r="C106" s="40"/>
      <c r="D106" s="40"/>
    </row>
    <row r="107" spans="2:4" ht="14.25" x14ac:dyDescent="0.15">
      <c r="B107" s="41" t="s">
        <v>33</v>
      </c>
      <c r="C107" s="42" t="s">
        <v>177</v>
      </c>
      <c r="D107" s="43">
        <v>-6</v>
      </c>
    </row>
    <row r="108" spans="2:4" ht="14.25" x14ac:dyDescent="0.15">
      <c r="B108" s="44" t="s">
        <v>178</v>
      </c>
      <c r="C108" s="45" t="s">
        <v>179</v>
      </c>
      <c r="D108" s="46">
        <v>-1</v>
      </c>
    </row>
    <row r="109" spans="2:4" ht="14.25" x14ac:dyDescent="0.15">
      <c r="B109" s="44" t="s">
        <v>180</v>
      </c>
      <c r="C109" s="45" t="s">
        <v>181</v>
      </c>
      <c r="D109" s="46">
        <f>D107+D108</f>
        <v>-7</v>
      </c>
    </row>
    <row r="110" spans="2:4" x14ac:dyDescent="0.15">
      <c r="B110" s="44" t="s">
        <v>182</v>
      </c>
      <c r="C110" s="45" t="s">
        <v>183</v>
      </c>
      <c r="D110" s="46" t="e">
        <f>D83+D88+D104</f>
        <v>#VALUE!</v>
      </c>
    </row>
    <row r="111" spans="2:4" ht="14.25" x14ac:dyDescent="0.15">
      <c r="B111" s="44" t="s">
        <v>31</v>
      </c>
      <c r="C111" s="45" t="s">
        <v>184</v>
      </c>
      <c r="D111" s="46">
        <f>10*LOG10(D102)+D103</f>
        <v>-200.08426778447557</v>
      </c>
    </row>
    <row r="112" spans="2:4" x14ac:dyDescent="0.15">
      <c r="B112" s="44" t="s">
        <v>30</v>
      </c>
      <c r="C112" s="45" t="s">
        <v>185</v>
      </c>
      <c r="D112" s="46">
        <f>10*LOG10(D102*D103*D101*10^3)</f>
        <v>-177.0604796681348</v>
      </c>
    </row>
    <row r="113" spans="2:4" ht="14.25" x14ac:dyDescent="0.15">
      <c r="B113" s="44" t="s">
        <v>186</v>
      </c>
      <c r="C113" s="45" t="s">
        <v>187</v>
      </c>
      <c r="D113" s="46" t="e">
        <f>D110-D111</f>
        <v>#VALUE!</v>
      </c>
    </row>
    <row r="114" spans="2:4" ht="14.25" x14ac:dyDescent="0.15">
      <c r="B114" s="44" t="s">
        <v>188</v>
      </c>
      <c r="C114" s="45" t="s">
        <v>189</v>
      </c>
      <c r="D114" s="46" t="e">
        <f>D113+D109</f>
        <v>#VALUE!</v>
      </c>
    </row>
    <row r="115" spans="2:4" ht="14.25" x14ac:dyDescent="0.15">
      <c r="B115" s="44" t="s">
        <v>190</v>
      </c>
      <c r="C115" s="45" t="s">
        <v>191</v>
      </c>
      <c r="D115" s="46">
        <f>10^-6</f>
        <v>9.9999999999999995E-7</v>
      </c>
    </row>
    <row r="116" spans="2:4" ht="14.25" x14ac:dyDescent="0.15">
      <c r="B116" s="44" t="s">
        <v>192</v>
      </c>
      <c r="C116" s="45" t="s">
        <v>193</v>
      </c>
      <c r="D116" s="46">
        <v>10.5</v>
      </c>
    </row>
    <row r="117" spans="2:4" x14ac:dyDescent="0.15">
      <c r="B117" s="44" t="s">
        <v>194</v>
      </c>
      <c r="C117" s="45"/>
      <c r="D117" s="46">
        <v>1200</v>
      </c>
    </row>
    <row r="118" spans="2:4" ht="14.25" x14ac:dyDescent="0.15">
      <c r="B118" s="44" t="s">
        <v>195</v>
      </c>
      <c r="C118" s="45" t="s">
        <v>196</v>
      </c>
      <c r="D118" s="46">
        <f>D116+10*LOG10(D117)-D109</f>
        <v>48.291812460476251</v>
      </c>
    </row>
    <row r="119" spans="2:4" ht="14.25" thickBot="1" x14ac:dyDescent="0.2">
      <c r="B119" s="47" t="s">
        <v>197</v>
      </c>
      <c r="C119" s="48" t="s">
        <v>198</v>
      </c>
      <c r="D119" s="49" t="e">
        <f>D113-D118</f>
        <v>#VALUE!</v>
      </c>
    </row>
    <row r="120" spans="2:4" x14ac:dyDescent="0.15">
      <c r="B120" s="51"/>
      <c r="C120" s="51"/>
      <c r="D120" s="51"/>
    </row>
  </sheetData>
  <mergeCells count="13">
    <mergeCell ref="F14:H14"/>
    <mergeCell ref="J14:L14"/>
    <mergeCell ref="B31:D31"/>
    <mergeCell ref="F31:H31"/>
    <mergeCell ref="J31:L31"/>
    <mergeCell ref="B23:D23"/>
    <mergeCell ref="F23:H23"/>
    <mergeCell ref="J23:L23"/>
    <mergeCell ref="B70:D70"/>
    <mergeCell ref="B90:D90"/>
    <mergeCell ref="B94:B95"/>
    <mergeCell ref="B99:B100"/>
    <mergeCell ref="B14:D14"/>
  </mergeCells>
  <phoneticPr fontId="1"/>
  <pageMargins left="0.78700000000000003" right="0.78700000000000003" top="0.32" bottom="0.49" header="0.25" footer="0.51200000000000001"/>
  <pageSetup paperSize="8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workbookViewId="0">
      <selection activeCell="F11" sqref="F11"/>
    </sheetView>
  </sheetViews>
  <sheetFormatPr defaultRowHeight="13.5" x14ac:dyDescent="0.15"/>
  <cols>
    <col min="2" max="2" width="27.5" bestFit="1" customWidth="1"/>
    <col min="3" max="3" width="11.5" bestFit="1" customWidth="1"/>
    <col min="4" max="4" width="12.75" bestFit="1" customWidth="1"/>
    <col min="8" max="8" width="27.5" bestFit="1" customWidth="1"/>
    <col min="9" max="9" width="11.5" bestFit="1" customWidth="1"/>
    <col min="10" max="10" width="12.75" bestFit="1" customWidth="1"/>
    <col min="13" max="13" width="27.5" bestFit="1" customWidth="1"/>
    <col min="18" max="18" width="27.5" bestFit="1" customWidth="1"/>
  </cols>
  <sheetData>
    <row r="1" spans="1:20" x14ac:dyDescent="0.15">
      <c r="A1" s="1"/>
      <c r="B1" s="1" t="s">
        <v>104</v>
      </c>
      <c r="C1" s="1"/>
      <c r="D1" s="1"/>
      <c r="E1" s="1"/>
      <c r="F1" s="1"/>
      <c r="G1" s="1"/>
      <c r="H1" s="1" t="s">
        <v>105</v>
      </c>
      <c r="I1" s="1"/>
      <c r="J1" s="1"/>
      <c r="K1" s="1"/>
      <c r="L1" s="1"/>
      <c r="M1" s="1" t="s">
        <v>110</v>
      </c>
      <c r="N1" s="1"/>
      <c r="O1" s="1"/>
      <c r="P1" s="1"/>
      <c r="Q1" s="1"/>
      <c r="R1" s="1" t="s">
        <v>106</v>
      </c>
      <c r="S1" s="1"/>
      <c r="T1" s="1"/>
    </row>
    <row r="2" spans="1:20" ht="14.25" thickBot="1" x14ac:dyDescent="0.2">
      <c r="A2" s="1"/>
      <c r="B2" s="3"/>
      <c r="C2" s="3"/>
      <c r="D2" s="3"/>
      <c r="E2" s="1"/>
      <c r="F2" s="1"/>
      <c r="G2" s="1"/>
      <c r="H2" s="3"/>
      <c r="I2" s="3"/>
      <c r="J2" s="3"/>
      <c r="K2" s="3"/>
      <c r="L2" s="3"/>
      <c r="M2" s="3"/>
      <c r="N2" s="3"/>
      <c r="O2" s="3"/>
      <c r="P2" s="3"/>
      <c r="Q2" s="1"/>
      <c r="R2" s="3"/>
      <c r="S2" s="3"/>
      <c r="T2" s="3"/>
    </row>
    <row r="3" spans="1:20" x14ac:dyDescent="0.15">
      <c r="A3" s="1"/>
      <c r="B3" s="6" t="s">
        <v>0</v>
      </c>
      <c r="C3" s="7"/>
      <c r="D3" s="8" t="s">
        <v>107</v>
      </c>
      <c r="E3" s="1"/>
      <c r="F3" s="1"/>
      <c r="G3" s="1"/>
      <c r="H3" s="6" t="s">
        <v>0</v>
      </c>
      <c r="I3" s="7"/>
      <c r="J3" s="8" t="s">
        <v>108</v>
      </c>
      <c r="K3" s="20"/>
      <c r="L3" s="20"/>
      <c r="M3" s="6" t="s">
        <v>0</v>
      </c>
      <c r="N3" s="7"/>
      <c r="O3" s="8" t="s">
        <v>116</v>
      </c>
      <c r="P3" s="20"/>
      <c r="Q3" s="1"/>
      <c r="R3" s="6" t="s">
        <v>0</v>
      </c>
      <c r="S3" s="7"/>
      <c r="T3" s="8"/>
    </row>
    <row r="4" spans="1:20" x14ac:dyDescent="0.15">
      <c r="A4" s="1"/>
      <c r="B4" s="9" t="s">
        <v>1</v>
      </c>
      <c r="C4" s="4" t="s">
        <v>38</v>
      </c>
      <c r="D4" s="10">
        <v>800</v>
      </c>
      <c r="E4" s="1"/>
      <c r="F4" s="1"/>
      <c r="G4" s="1"/>
      <c r="H4" s="9" t="s">
        <v>1</v>
      </c>
      <c r="I4" s="4" t="s">
        <v>38</v>
      </c>
      <c r="J4" s="10">
        <v>800</v>
      </c>
      <c r="K4" s="20"/>
      <c r="L4" s="20"/>
      <c r="M4" s="9" t="s">
        <v>1</v>
      </c>
      <c r="N4" s="4" t="s">
        <v>38</v>
      </c>
      <c r="O4" s="10">
        <v>800</v>
      </c>
      <c r="P4" s="20"/>
      <c r="Q4" s="1"/>
      <c r="R4" s="9" t="s">
        <v>1</v>
      </c>
      <c r="S4" s="4" t="s">
        <v>38</v>
      </c>
      <c r="T4" s="10">
        <v>800</v>
      </c>
    </row>
    <row r="5" spans="1:20" x14ac:dyDescent="0.15">
      <c r="A5" s="1"/>
      <c r="B5" s="9" t="s">
        <v>76</v>
      </c>
      <c r="C5" s="4" t="s">
        <v>77</v>
      </c>
      <c r="D5" s="10">
        <v>6378.1419999999998</v>
      </c>
      <c r="E5" s="1"/>
      <c r="F5" s="1"/>
      <c r="G5" s="1"/>
      <c r="H5" s="9" t="s">
        <v>76</v>
      </c>
      <c r="I5" s="4" t="s">
        <v>77</v>
      </c>
      <c r="J5" s="10">
        <v>6378.1419999999998</v>
      </c>
      <c r="K5" s="20"/>
      <c r="L5" s="20"/>
      <c r="M5" s="9" t="s">
        <v>76</v>
      </c>
      <c r="N5" s="4" t="s">
        <v>77</v>
      </c>
      <c r="O5" s="10">
        <v>6378.1419999999998</v>
      </c>
      <c r="P5" s="20"/>
      <c r="Q5" s="1"/>
      <c r="R5" s="9" t="s">
        <v>76</v>
      </c>
      <c r="S5" s="4" t="s">
        <v>77</v>
      </c>
      <c r="T5" s="10">
        <v>6378.1419999999998</v>
      </c>
    </row>
    <row r="6" spans="1:20" ht="14.25" x14ac:dyDescent="0.15">
      <c r="A6" s="1"/>
      <c r="B6" s="9" t="s">
        <v>2</v>
      </c>
      <c r="C6" s="4" t="s">
        <v>41</v>
      </c>
      <c r="D6" s="10">
        <v>5</v>
      </c>
      <c r="E6" s="1"/>
      <c r="F6" s="1"/>
      <c r="G6" s="1"/>
      <c r="H6" s="9" t="s">
        <v>2</v>
      </c>
      <c r="I6" s="4" t="s">
        <v>41</v>
      </c>
      <c r="J6" s="10">
        <v>5</v>
      </c>
      <c r="K6" s="20"/>
      <c r="L6" s="20"/>
      <c r="M6" s="9" t="s">
        <v>2</v>
      </c>
      <c r="N6" s="4" t="s">
        <v>41</v>
      </c>
      <c r="O6" s="10">
        <v>5</v>
      </c>
      <c r="P6" s="20"/>
      <c r="Q6" s="1"/>
      <c r="R6" s="9" t="s">
        <v>2</v>
      </c>
      <c r="S6" s="4" t="s">
        <v>41</v>
      </c>
      <c r="T6" s="10">
        <v>5</v>
      </c>
    </row>
    <row r="7" spans="1:20" ht="14.25" x14ac:dyDescent="0.15">
      <c r="A7" s="1"/>
      <c r="B7" s="9"/>
      <c r="C7" s="4" t="s">
        <v>42</v>
      </c>
      <c r="D7" s="10">
        <f>D6*PI()/180</f>
        <v>8.7266462599716474E-2</v>
      </c>
      <c r="E7" s="1"/>
      <c r="F7" s="1"/>
      <c r="G7" s="1"/>
      <c r="H7" s="9"/>
      <c r="I7" s="4" t="s">
        <v>42</v>
      </c>
      <c r="J7" s="10">
        <f>J6*PI()/180</f>
        <v>8.7266462599716474E-2</v>
      </c>
      <c r="K7" s="20"/>
      <c r="L7" s="20"/>
      <c r="M7" s="9"/>
      <c r="N7" s="4" t="s">
        <v>42</v>
      </c>
      <c r="O7" s="10">
        <f>O6*PI()/180</f>
        <v>8.7266462599716474E-2</v>
      </c>
      <c r="P7" s="20"/>
      <c r="Q7" s="1"/>
      <c r="R7" s="9"/>
      <c r="S7" s="4" t="s">
        <v>42</v>
      </c>
      <c r="T7" s="10">
        <f>T6*PI()/180</f>
        <v>8.7266462599716474E-2</v>
      </c>
    </row>
    <row r="8" spans="1:20" x14ac:dyDescent="0.15">
      <c r="A8" s="1"/>
      <c r="B8" s="9" t="s">
        <v>3</v>
      </c>
      <c r="C8" s="4" t="s">
        <v>40</v>
      </c>
      <c r="D8" s="10">
        <f>ACOS(D5*COS(D7)/(D5+D4))-D7</f>
        <v>0.39667200932772684</v>
      </c>
      <c r="E8" s="1"/>
      <c r="F8" s="1"/>
      <c r="G8" s="1"/>
      <c r="H8" s="9" t="s">
        <v>3</v>
      </c>
      <c r="I8" s="4" t="s">
        <v>40</v>
      </c>
      <c r="J8" s="10">
        <f>ACOS(J5*COS(J7)/(J5+J4))-J7</f>
        <v>0.39667200932772684</v>
      </c>
      <c r="K8" s="20"/>
      <c r="L8" s="20"/>
      <c r="M8" s="9" t="s">
        <v>3</v>
      </c>
      <c r="N8" s="4" t="s">
        <v>40</v>
      </c>
      <c r="O8" s="10">
        <f>ACOS(O5*COS(O7)/(O5+O4))-O7</f>
        <v>0.39667200932772684</v>
      </c>
      <c r="P8" s="20"/>
      <c r="Q8" s="1"/>
      <c r="R8" s="9" t="s">
        <v>3</v>
      </c>
      <c r="S8" s="4" t="s">
        <v>40</v>
      </c>
      <c r="T8" s="10">
        <f>ACOS(T5*COS(T7)/(T5+T4))-T7</f>
        <v>0.39667200932772684</v>
      </c>
    </row>
    <row r="9" spans="1:20" x14ac:dyDescent="0.15">
      <c r="A9" s="1"/>
      <c r="B9" s="9"/>
      <c r="C9" s="4" t="s">
        <v>39</v>
      </c>
      <c r="D9" s="10">
        <f>D8*180/PI()</f>
        <v>22.727631985452771</v>
      </c>
      <c r="E9" s="1"/>
      <c r="F9" s="1"/>
      <c r="G9" s="1"/>
      <c r="H9" s="9"/>
      <c r="I9" s="4" t="s">
        <v>39</v>
      </c>
      <c r="J9" s="10">
        <f>J8*180/PI()</f>
        <v>22.727631985452771</v>
      </c>
      <c r="K9" s="20"/>
      <c r="L9" s="20"/>
      <c r="M9" s="9"/>
      <c r="N9" s="4" t="s">
        <v>39</v>
      </c>
      <c r="O9" s="10">
        <f>O8*180/PI()</f>
        <v>22.727631985452771</v>
      </c>
      <c r="P9" s="20"/>
      <c r="Q9" s="1"/>
      <c r="R9" s="9"/>
      <c r="S9" s="4" t="s">
        <v>39</v>
      </c>
      <c r="T9" s="10">
        <f>T8*180/PI()</f>
        <v>22.727631985452771</v>
      </c>
    </row>
    <row r="10" spans="1:20" x14ac:dyDescent="0.15">
      <c r="A10" s="1"/>
      <c r="B10" s="9" t="s">
        <v>4</v>
      </c>
      <c r="C10" s="4" t="s">
        <v>43</v>
      </c>
      <c r="D10" s="11">
        <f>(D5+D4)*SIN(D8)/COS(D7)</f>
        <v>2783.8751726156697</v>
      </c>
      <c r="E10" s="1"/>
      <c r="F10" s="1"/>
      <c r="G10" s="1"/>
      <c r="H10" s="9" t="s">
        <v>4</v>
      </c>
      <c r="I10" s="4" t="s">
        <v>43</v>
      </c>
      <c r="J10" s="11">
        <f>(J5+J4)*SIN(J8)/COS(J7)</f>
        <v>2783.8751726156697</v>
      </c>
      <c r="K10" s="21"/>
      <c r="L10" s="21"/>
      <c r="M10" s="9" t="s">
        <v>4</v>
      </c>
      <c r="N10" s="4" t="s">
        <v>43</v>
      </c>
      <c r="O10" s="11">
        <f>(O5+O4)*SIN(O8)/COS(O7)</f>
        <v>2783.8751726156697</v>
      </c>
      <c r="P10" s="21"/>
      <c r="Q10" s="1"/>
      <c r="R10" s="9" t="s">
        <v>4</v>
      </c>
      <c r="S10" s="4" t="s">
        <v>43</v>
      </c>
      <c r="T10" s="11">
        <f>(T5+T4)*SIN(T8)/COS(T7)</f>
        <v>2783.8751726156697</v>
      </c>
    </row>
    <row r="11" spans="1:20" x14ac:dyDescent="0.15">
      <c r="A11" s="1"/>
      <c r="B11" s="9" t="s">
        <v>80</v>
      </c>
      <c r="C11" s="4" t="s">
        <v>81</v>
      </c>
      <c r="D11" s="12">
        <f>3*10^8</f>
        <v>300000000</v>
      </c>
      <c r="E11" s="1"/>
      <c r="F11" s="1"/>
      <c r="G11" s="1"/>
      <c r="H11" s="9" t="s">
        <v>80</v>
      </c>
      <c r="I11" s="4" t="s">
        <v>81</v>
      </c>
      <c r="J11" s="12">
        <f>3*10^8</f>
        <v>300000000</v>
      </c>
      <c r="K11" s="22"/>
      <c r="L11" s="22"/>
      <c r="M11" s="9" t="s">
        <v>80</v>
      </c>
      <c r="N11" s="4" t="s">
        <v>81</v>
      </c>
      <c r="O11" s="12">
        <f>3*10^8</f>
        <v>300000000</v>
      </c>
      <c r="P11" s="22"/>
      <c r="Q11" s="1"/>
      <c r="R11" s="9" t="s">
        <v>80</v>
      </c>
      <c r="S11" s="4" t="s">
        <v>81</v>
      </c>
      <c r="T11" s="12">
        <f>3*10^8</f>
        <v>300000000</v>
      </c>
    </row>
    <row r="12" spans="1:20" ht="14.25" thickBot="1" x14ac:dyDescent="0.2">
      <c r="A12" s="1"/>
      <c r="B12" s="13" t="s">
        <v>92</v>
      </c>
      <c r="C12" s="14" t="s">
        <v>93</v>
      </c>
      <c r="D12" s="15">
        <f>1.38*10^-23</f>
        <v>1.3800000000000001E-23</v>
      </c>
      <c r="E12" s="1"/>
      <c r="F12" s="1"/>
      <c r="G12" s="1"/>
      <c r="H12" s="13" t="s">
        <v>92</v>
      </c>
      <c r="I12" s="14" t="s">
        <v>93</v>
      </c>
      <c r="J12" s="15">
        <f>1.38*10^-23</f>
        <v>1.3800000000000001E-23</v>
      </c>
      <c r="K12" s="23"/>
      <c r="L12" s="23"/>
      <c r="M12" s="13" t="s">
        <v>92</v>
      </c>
      <c r="N12" s="14" t="s">
        <v>93</v>
      </c>
      <c r="O12" s="15">
        <f>1.38*10^-23</f>
        <v>1.3800000000000001E-23</v>
      </c>
      <c r="P12" s="23"/>
      <c r="Q12" s="1"/>
      <c r="R12" s="13" t="s">
        <v>92</v>
      </c>
      <c r="S12" s="14" t="s">
        <v>93</v>
      </c>
      <c r="T12" s="15">
        <f>1.38*10^-23</f>
        <v>1.3800000000000001E-23</v>
      </c>
    </row>
    <row r="13" spans="1:20" ht="14.25" thickBo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15">
      <c r="A14" s="1"/>
      <c r="B14" s="177" t="s">
        <v>10</v>
      </c>
      <c r="C14" s="178"/>
      <c r="D14" s="179"/>
      <c r="E14" s="1"/>
      <c r="F14" s="1"/>
      <c r="G14" s="1"/>
      <c r="H14" s="177" t="s">
        <v>10</v>
      </c>
      <c r="I14" s="178"/>
      <c r="J14" s="179"/>
      <c r="K14" s="24"/>
      <c r="L14" s="24"/>
      <c r="M14" s="177" t="s">
        <v>10</v>
      </c>
      <c r="N14" s="178"/>
      <c r="O14" s="179"/>
      <c r="P14" s="24"/>
      <c r="Q14" s="1"/>
      <c r="R14" s="177" t="s">
        <v>109</v>
      </c>
      <c r="S14" s="178"/>
      <c r="T14" s="179"/>
    </row>
    <row r="15" spans="1:20" x14ac:dyDescent="0.15">
      <c r="A15" s="1"/>
      <c r="B15" s="9" t="s">
        <v>6</v>
      </c>
      <c r="C15" s="4" t="s">
        <v>44</v>
      </c>
      <c r="D15" s="10">
        <v>437.48500000000001</v>
      </c>
      <c r="E15" s="1"/>
      <c r="F15" s="1"/>
      <c r="G15" s="1"/>
      <c r="H15" s="9" t="s">
        <v>6</v>
      </c>
      <c r="I15" s="4" t="s">
        <v>44</v>
      </c>
      <c r="J15" s="10">
        <v>437.48500000000001</v>
      </c>
      <c r="K15" s="20"/>
      <c r="L15" s="20"/>
      <c r="M15" s="9" t="s">
        <v>6</v>
      </c>
      <c r="N15" s="4" t="s">
        <v>44</v>
      </c>
      <c r="O15" s="10">
        <v>437.48500000000001</v>
      </c>
      <c r="P15" s="20"/>
      <c r="Q15" s="1"/>
      <c r="R15" s="9" t="s">
        <v>6</v>
      </c>
      <c r="S15" s="4" t="s">
        <v>44</v>
      </c>
      <c r="T15" s="10">
        <v>145.88999999999999</v>
      </c>
    </row>
    <row r="16" spans="1:20" ht="14.25" x14ac:dyDescent="0.15">
      <c r="A16" s="1"/>
      <c r="B16" s="9" t="s">
        <v>5</v>
      </c>
      <c r="C16" s="4" t="s">
        <v>45</v>
      </c>
      <c r="D16" s="10">
        <v>0.5</v>
      </c>
      <c r="E16" s="1"/>
      <c r="F16" s="1"/>
      <c r="G16" s="1"/>
      <c r="H16" s="9" t="s">
        <v>5</v>
      </c>
      <c r="I16" s="4" t="s">
        <v>45</v>
      </c>
      <c r="J16" s="10">
        <v>2.5</v>
      </c>
      <c r="K16" s="20" t="s">
        <v>98</v>
      </c>
      <c r="L16" s="20"/>
      <c r="M16" s="9" t="s">
        <v>5</v>
      </c>
      <c r="N16" s="4" t="s">
        <v>45</v>
      </c>
      <c r="O16" s="10">
        <v>0.15</v>
      </c>
      <c r="P16" s="20"/>
      <c r="Q16" s="1"/>
      <c r="R16" s="9" t="s">
        <v>5</v>
      </c>
      <c r="S16" s="4" t="s">
        <v>45</v>
      </c>
      <c r="T16" s="10">
        <v>50</v>
      </c>
    </row>
    <row r="17" spans="1:20" ht="14.25" x14ac:dyDescent="0.15">
      <c r="A17" s="1"/>
      <c r="B17" s="9"/>
      <c r="C17" s="4" t="s">
        <v>78</v>
      </c>
      <c r="D17" s="10">
        <f>10*LOG(D16)</f>
        <v>-3.0102999566398121</v>
      </c>
      <c r="E17" s="1"/>
      <c r="F17" s="1"/>
      <c r="G17" s="1"/>
      <c r="H17" s="9"/>
      <c r="I17" s="4" t="s">
        <v>78</v>
      </c>
      <c r="J17" s="10">
        <f>10*LOG(J16)</f>
        <v>3.9794000867203758</v>
      </c>
      <c r="K17" s="20"/>
      <c r="L17" s="20"/>
      <c r="M17" s="9"/>
      <c r="N17" s="4" t="s">
        <v>78</v>
      </c>
      <c r="O17" s="10">
        <f>10*LOG(O16)</f>
        <v>-8.2390874094431883</v>
      </c>
      <c r="P17" s="20"/>
      <c r="Q17" s="1"/>
      <c r="R17" s="9"/>
      <c r="S17" s="4" t="s">
        <v>78</v>
      </c>
      <c r="T17" s="10">
        <f>10*LOG(T16)</f>
        <v>16.989700043360187</v>
      </c>
    </row>
    <row r="18" spans="1:20" ht="14.25" x14ac:dyDescent="0.15">
      <c r="A18" s="1"/>
      <c r="B18" s="9" t="s">
        <v>7</v>
      </c>
      <c r="C18" s="4" t="s">
        <v>46</v>
      </c>
      <c r="D18" s="10">
        <v>-2</v>
      </c>
      <c r="E18" s="1"/>
      <c r="F18" s="1"/>
      <c r="G18" s="1"/>
      <c r="H18" s="9" t="s">
        <v>7</v>
      </c>
      <c r="I18" s="4" t="s">
        <v>46</v>
      </c>
      <c r="J18" s="10">
        <v>-2</v>
      </c>
      <c r="K18" s="20"/>
      <c r="L18" s="20"/>
      <c r="M18" s="9" t="s">
        <v>7</v>
      </c>
      <c r="N18" s="4" t="s">
        <v>46</v>
      </c>
      <c r="O18" s="10">
        <v>-2</v>
      </c>
      <c r="P18" s="20"/>
      <c r="Q18" s="1"/>
      <c r="R18" s="9" t="s">
        <v>7</v>
      </c>
      <c r="S18" s="4" t="s">
        <v>46</v>
      </c>
      <c r="T18" s="10">
        <v>-2</v>
      </c>
    </row>
    <row r="19" spans="1:20" ht="14.25" x14ac:dyDescent="0.15">
      <c r="A19" s="1"/>
      <c r="B19" s="9" t="s">
        <v>8</v>
      </c>
      <c r="C19" s="4" t="s">
        <v>47</v>
      </c>
      <c r="D19" s="10">
        <v>-2</v>
      </c>
      <c r="E19" s="2"/>
      <c r="F19" s="1"/>
      <c r="G19" s="1"/>
      <c r="H19" s="9" t="s">
        <v>8</v>
      </c>
      <c r="I19" s="4" t="s">
        <v>47</v>
      </c>
      <c r="J19" s="10">
        <v>-2</v>
      </c>
      <c r="K19" s="20"/>
      <c r="L19" s="20"/>
      <c r="M19" s="9" t="s">
        <v>8</v>
      </c>
      <c r="N19" s="4" t="s">
        <v>47</v>
      </c>
      <c r="O19" s="10">
        <v>-2</v>
      </c>
      <c r="P19" s="20"/>
      <c r="Q19" s="1"/>
      <c r="R19" s="9" t="s">
        <v>8</v>
      </c>
      <c r="S19" s="4" t="s">
        <v>47</v>
      </c>
      <c r="T19" s="10">
        <v>14</v>
      </c>
    </row>
    <row r="20" spans="1:20" ht="14.25" x14ac:dyDescent="0.15">
      <c r="A20" s="1"/>
      <c r="B20" s="9" t="s">
        <v>9</v>
      </c>
      <c r="C20" s="4" t="s">
        <v>48</v>
      </c>
      <c r="D20" s="10">
        <f>D17+D18+D19</f>
        <v>-7.0102999566398125</v>
      </c>
      <c r="E20" s="1"/>
      <c r="F20" s="1"/>
      <c r="G20" s="1"/>
      <c r="H20" s="9" t="s">
        <v>9</v>
      </c>
      <c r="I20" s="4" t="s">
        <v>48</v>
      </c>
      <c r="J20" s="10">
        <f>J17+J18+J19</f>
        <v>-2.0599913279624182E-2</v>
      </c>
      <c r="K20" s="20"/>
      <c r="L20" s="20"/>
      <c r="M20" s="9" t="s">
        <v>9</v>
      </c>
      <c r="N20" s="4" t="s">
        <v>48</v>
      </c>
      <c r="O20" s="10">
        <f>O17+O18+O19</f>
        <v>-12.239087409443188</v>
      </c>
      <c r="P20" s="20"/>
      <c r="Q20" s="1"/>
      <c r="R20" s="9" t="s">
        <v>9</v>
      </c>
      <c r="S20" s="4" t="s">
        <v>48</v>
      </c>
      <c r="T20" s="10">
        <f>T17+T18+T19</f>
        <v>28.989700043360187</v>
      </c>
    </row>
    <row r="21" spans="1:20" ht="15" thickBot="1" x14ac:dyDescent="0.2">
      <c r="A21" s="1"/>
      <c r="B21" s="13" t="s">
        <v>20</v>
      </c>
      <c r="C21" s="14" t="s">
        <v>49</v>
      </c>
      <c r="D21" s="16">
        <v>0</v>
      </c>
      <c r="E21" s="1" t="s">
        <v>79</v>
      </c>
      <c r="F21" s="1"/>
      <c r="G21" s="1"/>
      <c r="H21" s="13" t="s">
        <v>20</v>
      </c>
      <c r="I21" s="14" t="s">
        <v>49</v>
      </c>
      <c r="J21" s="16">
        <v>0</v>
      </c>
      <c r="K21" s="20"/>
      <c r="L21" s="20"/>
      <c r="M21" s="13" t="s">
        <v>20</v>
      </c>
      <c r="N21" s="14" t="s">
        <v>49</v>
      </c>
      <c r="O21" s="16">
        <v>0</v>
      </c>
      <c r="P21" s="20"/>
      <c r="Q21" s="1"/>
      <c r="R21" s="13" t="s">
        <v>20</v>
      </c>
      <c r="S21" s="14" t="s">
        <v>49</v>
      </c>
      <c r="T21" s="16">
        <v>0</v>
      </c>
    </row>
    <row r="22" spans="1:20" ht="14.25" thickBo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15">
      <c r="A23" s="1"/>
      <c r="B23" s="177" t="s">
        <v>11</v>
      </c>
      <c r="C23" s="178"/>
      <c r="D23" s="179"/>
      <c r="E23" s="1"/>
      <c r="F23" s="1"/>
      <c r="G23" s="1"/>
      <c r="H23" s="177" t="s">
        <v>11</v>
      </c>
      <c r="I23" s="178"/>
      <c r="J23" s="179"/>
      <c r="K23" s="24"/>
      <c r="L23" s="24"/>
      <c r="M23" s="177" t="s">
        <v>11</v>
      </c>
      <c r="N23" s="178"/>
      <c r="O23" s="179"/>
      <c r="P23" s="24"/>
      <c r="Q23" s="1"/>
      <c r="R23" s="177" t="s">
        <v>11</v>
      </c>
      <c r="S23" s="178"/>
      <c r="T23" s="179"/>
    </row>
    <row r="24" spans="1:20" ht="14.25" x14ac:dyDescent="0.15">
      <c r="A24" s="1"/>
      <c r="B24" s="9" t="s">
        <v>12</v>
      </c>
      <c r="C24" s="4" t="s">
        <v>55</v>
      </c>
      <c r="D24" s="17">
        <f>-(20*LOG(4*PI()*D15*10^6*D10/(D11*10^-3)))</f>
        <v>-154.154030683315</v>
      </c>
      <c r="E24" s="1"/>
      <c r="F24" s="1"/>
      <c r="G24" s="1"/>
      <c r="H24" s="9" t="s">
        <v>12</v>
      </c>
      <c r="I24" s="4" t="s">
        <v>55</v>
      </c>
      <c r="J24" s="17">
        <f>-(20*LOG(4*PI()*J15*10^6*J10/(J11*10^-3)))</f>
        <v>-154.154030683315</v>
      </c>
      <c r="K24" s="25"/>
      <c r="L24" s="25"/>
      <c r="M24" s="9" t="s">
        <v>12</v>
      </c>
      <c r="N24" s="4" t="s">
        <v>55</v>
      </c>
      <c r="O24" s="17">
        <f>-(20*LOG(4*PI()*O15*10^6*O10/(O11*10^-3)))</f>
        <v>-154.154030683315</v>
      </c>
      <c r="P24" s="25"/>
      <c r="Q24" s="1"/>
      <c r="R24" s="9" t="s">
        <v>12</v>
      </c>
      <c r="S24" s="4" t="s">
        <v>55</v>
      </c>
      <c r="T24" s="17">
        <f>-(20*LOG(4*PI()*T15*10^6*T10/(T11*10^-3)))</f>
        <v>-144.61527782894089</v>
      </c>
    </row>
    <row r="25" spans="1:20" ht="14.25" x14ac:dyDescent="0.15">
      <c r="A25" s="1"/>
      <c r="B25" s="9" t="s">
        <v>13</v>
      </c>
      <c r="C25" s="4" t="s">
        <v>50</v>
      </c>
      <c r="D25" s="10">
        <v>-3</v>
      </c>
      <c r="E25" s="1" t="s">
        <v>84</v>
      </c>
      <c r="F25" s="1"/>
      <c r="G25" s="1"/>
      <c r="H25" s="9" t="s">
        <v>13</v>
      </c>
      <c r="I25" s="4" t="s">
        <v>50</v>
      </c>
      <c r="J25" s="10">
        <v>-3</v>
      </c>
      <c r="K25" s="20"/>
      <c r="L25" s="20"/>
      <c r="M25" s="9" t="s">
        <v>13</v>
      </c>
      <c r="N25" s="4" t="s">
        <v>50</v>
      </c>
      <c r="O25" s="10">
        <v>-3</v>
      </c>
      <c r="P25" s="20"/>
      <c r="Q25" s="1"/>
      <c r="R25" s="9" t="s">
        <v>13</v>
      </c>
      <c r="S25" s="4" t="s">
        <v>50</v>
      </c>
      <c r="T25" s="10">
        <v>-3</v>
      </c>
    </row>
    <row r="26" spans="1:20" ht="14.25" x14ac:dyDescent="0.15">
      <c r="A26" s="1"/>
      <c r="B26" s="9" t="s">
        <v>14</v>
      </c>
      <c r="C26" s="4" t="s">
        <v>51</v>
      </c>
      <c r="D26" s="10">
        <v>0</v>
      </c>
      <c r="E26" s="1" t="s">
        <v>82</v>
      </c>
      <c r="F26" s="1"/>
      <c r="G26" s="1"/>
      <c r="H26" s="9" t="s">
        <v>14</v>
      </c>
      <c r="I26" s="4" t="s">
        <v>51</v>
      </c>
      <c r="J26" s="10">
        <v>0</v>
      </c>
      <c r="K26" s="20"/>
      <c r="L26" s="20"/>
      <c r="M26" s="9" t="s">
        <v>14</v>
      </c>
      <c r="N26" s="4" t="s">
        <v>51</v>
      </c>
      <c r="O26" s="10">
        <v>0</v>
      </c>
      <c r="P26" s="20"/>
      <c r="Q26" s="1"/>
      <c r="R26" s="9" t="s">
        <v>14</v>
      </c>
      <c r="S26" s="4" t="s">
        <v>51</v>
      </c>
      <c r="T26" s="10">
        <v>0</v>
      </c>
    </row>
    <row r="27" spans="1:20" ht="14.25" x14ac:dyDescent="0.15">
      <c r="A27" s="1"/>
      <c r="B27" s="9" t="s">
        <v>15</v>
      </c>
      <c r="C27" s="4" t="s">
        <v>52</v>
      </c>
      <c r="D27" s="10">
        <v>0</v>
      </c>
      <c r="E27" s="1" t="s">
        <v>83</v>
      </c>
      <c r="F27" s="1"/>
      <c r="G27" s="1"/>
      <c r="H27" s="9" t="s">
        <v>15</v>
      </c>
      <c r="I27" s="4" t="s">
        <v>52</v>
      </c>
      <c r="J27" s="10">
        <v>0</v>
      </c>
      <c r="K27" s="20"/>
      <c r="L27" s="20"/>
      <c r="M27" s="9" t="s">
        <v>15</v>
      </c>
      <c r="N27" s="4" t="s">
        <v>52</v>
      </c>
      <c r="O27" s="10">
        <v>0</v>
      </c>
      <c r="P27" s="20"/>
      <c r="Q27" s="1"/>
      <c r="R27" s="9" t="s">
        <v>15</v>
      </c>
      <c r="S27" s="4" t="s">
        <v>52</v>
      </c>
      <c r="T27" s="10">
        <v>0</v>
      </c>
    </row>
    <row r="28" spans="1:20" ht="14.25" x14ac:dyDescent="0.15">
      <c r="A28" s="1"/>
      <c r="B28" s="9" t="s">
        <v>16</v>
      </c>
      <c r="C28" s="4" t="s">
        <v>53</v>
      </c>
      <c r="D28" s="10">
        <v>0</v>
      </c>
      <c r="E28" s="1" t="s">
        <v>85</v>
      </c>
      <c r="F28" s="1"/>
      <c r="G28" s="1"/>
      <c r="H28" s="9" t="s">
        <v>16</v>
      </c>
      <c r="I28" s="4" t="s">
        <v>53</v>
      </c>
      <c r="J28" s="10">
        <v>0</v>
      </c>
      <c r="K28" s="20"/>
      <c r="L28" s="20"/>
      <c r="M28" s="9" t="s">
        <v>16</v>
      </c>
      <c r="N28" s="4" t="s">
        <v>53</v>
      </c>
      <c r="O28" s="10">
        <v>0</v>
      </c>
      <c r="P28" s="20"/>
      <c r="Q28" s="1"/>
      <c r="R28" s="9" t="s">
        <v>16</v>
      </c>
      <c r="S28" s="4" t="s">
        <v>53</v>
      </c>
      <c r="T28" s="10">
        <v>0</v>
      </c>
    </row>
    <row r="29" spans="1:20" ht="15" thickBot="1" x14ac:dyDescent="0.2">
      <c r="A29" s="1"/>
      <c r="B29" s="13" t="s">
        <v>17</v>
      </c>
      <c r="C29" s="14" t="s">
        <v>54</v>
      </c>
      <c r="D29" s="16">
        <f>D24+D25+D26+D27+D28</f>
        <v>-157.154030683315</v>
      </c>
      <c r="E29" s="1"/>
      <c r="F29" s="1"/>
      <c r="G29" s="1"/>
      <c r="H29" s="13" t="s">
        <v>17</v>
      </c>
      <c r="I29" s="14" t="s">
        <v>54</v>
      </c>
      <c r="J29" s="16">
        <f>J24+J25+J26+J27+J28</f>
        <v>-157.154030683315</v>
      </c>
      <c r="K29" s="20"/>
      <c r="L29" s="20"/>
      <c r="M29" s="13" t="s">
        <v>17</v>
      </c>
      <c r="N29" s="14" t="s">
        <v>54</v>
      </c>
      <c r="O29" s="16">
        <f>O24+O25+O26+O27+O28</f>
        <v>-157.154030683315</v>
      </c>
      <c r="P29" s="20"/>
      <c r="Q29" s="1"/>
      <c r="R29" s="13" t="s">
        <v>17</v>
      </c>
      <c r="S29" s="14" t="s">
        <v>54</v>
      </c>
      <c r="T29" s="16">
        <f>T24+T25+T26+T27+T28</f>
        <v>-147.61527782894089</v>
      </c>
    </row>
    <row r="30" spans="1:20" ht="14.25" thickBo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15">
      <c r="A31" s="1"/>
      <c r="B31" s="177" t="s">
        <v>18</v>
      </c>
      <c r="C31" s="178"/>
      <c r="D31" s="179"/>
      <c r="E31" s="1"/>
      <c r="F31" s="1"/>
      <c r="G31" s="1"/>
      <c r="H31" s="177" t="s">
        <v>18</v>
      </c>
      <c r="I31" s="178"/>
      <c r="J31" s="179"/>
      <c r="K31" s="24"/>
      <c r="L31" s="24"/>
      <c r="M31" s="177" t="s">
        <v>18</v>
      </c>
      <c r="N31" s="178"/>
      <c r="O31" s="179"/>
      <c r="P31" s="24"/>
      <c r="Q31" s="1"/>
      <c r="R31" s="177" t="s">
        <v>115</v>
      </c>
      <c r="S31" s="178"/>
      <c r="T31" s="179"/>
    </row>
    <row r="32" spans="1:20" ht="14.25" x14ac:dyDescent="0.15">
      <c r="A32" s="1"/>
      <c r="B32" s="9" t="s">
        <v>19</v>
      </c>
      <c r="C32" s="4" t="s">
        <v>56</v>
      </c>
      <c r="D32" s="10">
        <v>0</v>
      </c>
      <c r="E32" s="1" t="s">
        <v>79</v>
      </c>
      <c r="F32" s="1"/>
      <c r="G32" s="1"/>
      <c r="H32" s="9" t="s">
        <v>19</v>
      </c>
      <c r="I32" s="4" t="s">
        <v>56</v>
      </c>
      <c r="J32" s="10">
        <v>0</v>
      </c>
      <c r="K32" s="20"/>
      <c r="L32" s="20"/>
      <c r="M32" s="9" t="s">
        <v>19</v>
      </c>
      <c r="N32" s="4" t="s">
        <v>56</v>
      </c>
      <c r="O32" s="10">
        <v>0</v>
      </c>
      <c r="P32" s="20"/>
      <c r="Q32" s="1"/>
      <c r="R32" s="9" t="s">
        <v>19</v>
      </c>
      <c r="S32" s="4" t="s">
        <v>56</v>
      </c>
      <c r="T32" s="10">
        <v>0</v>
      </c>
    </row>
    <row r="33" spans="1:20" ht="14.25" x14ac:dyDescent="0.15">
      <c r="A33" s="1"/>
      <c r="B33" s="9" t="s">
        <v>21</v>
      </c>
      <c r="C33" s="4" t="s">
        <v>57</v>
      </c>
      <c r="D33" s="10">
        <v>18.5</v>
      </c>
      <c r="E33" s="1"/>
      <c r="F33" s="1"/>
      <c r="G33" s="1"/>
      <c r="H33" s="9" t="s">
        <v>21</v>
      </c>
      <c r="I33" s="4" t="s">
        <v>57</v>
      </c>
      <c r="J33" s="10">
        <v>18.5</v>
      </c>
      <c r="K33" s="20"/>
      <c r="L33" s="20"/>
      <c r="M33" s="9" t="s">
        <v>21</v>
      </c>
      <c r="N33" s="4" t="s">
        <v>57</v>
      </c>
      <c r="O33" s="10">
        <v>18.5</v>
      </c>
      <c r="P33" s="20"/>
      <c r="Q33" s="1"/>
      <c r="R33" s="9" t="s">
        <v>21</v>
      </c>
      <c r="S33" s="4" t="s">
        <v>57</v>
      </c>
      <c r="T33" s="10">
        <v>0</v>
      </c>
    </row>
    <row r="34" spans="1:20" ht="14.25" x14ac:dyDescent="0.15">
      <c r="A34" s="1"/>
      <c r="B34" s="9" t="s">
        <v>22</v>
      </c>
      <c r="C34" s="4" t="s">
        <v>58</v>
      </c>
      <c r="D34" s="10">
        <v>-2</v>
      </c>
      <c r="E34" s="1"/>
      <c r="F34" s="1"/>
      <c r="G34" s="1"/>
      <c r="H34" s="9" t="s">
        <v>22</v>
      </c>
      <c r="I34" s="4" t="s">
        <v>58</v>
      </c>
      <c r="J34" s="10">
        <v>-2</v>
      </c>
      <c r="K34" s="20"/>
      <c r="L34" s="20"/>
      <c r="M34" s="9" t="s">
        <v>22</v>
      </c>
      <c r="N34" s="4" t="s">
        <v>58</v>
      </c>
      <c r="O34" s="10">
        <v>-2</v>
      </c>
      <c r="P34" s="20"/>
      <c r="Q34" s="1"/>
      <c r="R34" s="9" t="s">
        <v>22</v>
      </c>
      <c r="S34" s="4" t="s">
        <v>58</v>
      </c>
      <c r="T34" s="10">
        <v>-2</v>
      </c>
    </row>
    <row r="35" spans="1:20" x14ac:dyDescent="0.15">
      <c r="A35" s="1"/>
      <c r="B35" s="9" t="s">
        <v>86</v>
      </c>
      <c r="C35" s="4" t="s">
        <v>87</v>
      </c>
      <c r="D35" s="10">
        <f>10^(-D34/10)</f>
        <v>1.5848931924611136</v>
      </c>
      <c r="E35" s="1"/>
      <c r="F35" s="1"/>
      <c r="G35" s="1"/>
      <c r="H35" s="9" t="s">
        <v>86</v>
      </c>
      <c r="I35" s="4" t="s">
        <v>87</v>
      </c>
      <c r="J35" s="10">
        <f>10^(-J34/10)</f>
        <v>1.5848931924611136</v>
      </c>
      <c r="K35" s="20"/>
      <c r="L35" s="20"/>
      <c r="M35" s="9" t="s">
        <v>86</v>
      </c>
      <c r="N35" s="4" t="s">
        <v>87</v>
      </c>
      <c r="O35" s="10">
        <f>10^(-O34/10)</f>
        <v>1.5848931924611136</v>
      </c>
      <c r="P35" s="20"/>
      <c r="Q35" s="1"/>
      <c r="R35" s="9" t="s">
        <v>86</v>
      </c>
      <c r="S35" s="4" t="s">
        <v>87</v>
      </c>
      <c r="T35" s="10">
        <f>10^(-T34/10)</f>
        <v>1.5848931924611136</v>
      </c>
    </row>
    <row r="36" spans="1:20" x14ac:dyDescent="0.15">
      <c r="A36" s="1"/>
      <c r="B36" s="9" t="s">
        <v>23</v>
      </c>
      <c r="C36" s="4" t="s">
        <v>59</v>
      </c>
      <c r="D36" s="10">
        <f>D20-D21+D29-D32+D33+D34</f>
        <v>-147.66433063995481</v>
      </c>
      <c r="E36" s="1"/>
      <c r="F36" s="1"/>
      <c r="G36" s="1"/>
      <c r="H36" s="9" t="s">
        <v>23</v>
      </c>
      <c r="I36" s="4" t="s">
        <v>59</v>
      </c>
      <c r="J36" s="10">
        <f>J20-J21+J29-J32+J33+J34</f>
        <v>-140.67463059659462</v>
      </c>
      <c r="K36" s="20"/>
      <c r="L36" s="20"/>
      <c r="M36" s="9" t="s">
        <v>23</v>
      </c>
      <c r="N36" s="4" t="s">
        <v>59</v>
      </c>
      <c r="O36" s="10">
        <f>O20-O21+O29-O32+O33+O34</f>
        <v>-152.89311809275819</v>
      </c>
      <c r="P36" s="20"/>
      <c r="Q36" s="1"/>
      <c r="R36" s="9" t="s">
        <v>23</v>
      </c>
      <c r="S36" s="4" t="s">
        <v>59</v>
      </c>
      <c r="T36" s="10">
        <f>T20-T21+T29-T32+T33+T34</f>
        <v>-120.6255777855807</v>
      </c>
    </row>
    <row r="37" spans="1:20" ht="14.25" x14ac:dyDescent="0.15">
      <c r="A37" s="1"/>
      <c r="B37" s="9" t="s">
        <v>24</v>
      </c>
      <c r="C37" s="4" t="s">
        <v>60</v>
      </c>
      <c r="D37" s="10">
        <v>300</v>
      </c>
      <c r="E37" s="1"/>
      <c r="F37" s="1"/>
      <c r="G37" s="1"/>
      <c r="H37" s="9" t="s">
        <v>24</v>
      </c>
      <c r="I37" s="4" t="s">
        <v>60</v>
      </c>
      <c r="J37" s="10">
        <v>300</v>
      </c>
      <c r="K37" s="20"/>
      <c r="L37" s="20"/>
      <c r="M37" s="9" t="s">
        <v>24</v>
      </c>
      <c r="N37" s="4" t="s">
        <v>60</v>
      </c>
      <c r="O37" s="10">
        <v>300</v>
      </c>
      <c r="P37" s="20"/>
      <c r="Q37" s="1"/>
      <c r="R37" s="9" t="s">
        <v>24</v>
      </c>
      <c r="S37" s="4" t="s">
        <v>60</v>
      </c>
      <c r="T37" s="10">
        <v>300</v>
      </c>
    </row>
    <row r="38" spans="1:20" ht="14.25" x14ac:dyDescent="0.15">
      <c r="A38" s="1"/>
      <c r="B38" s="9" t="s">
        <v>25</v>
      </c>
      <c r="C38" s="4" t="s">
        <v>62</v>
      </c>
      <c r="D38" s="10">
        <f>D40</f>
        <v>300</v>
      </c>
      <c r="E38" s="1"/>
      <c r="F38" s="1"/>
      <c r="G38" s="1"/>
      <c r="H38" s="9" t="s">
        <v>25</v>
      </c>
      <c r="I38" s="4" t="s">
        <v>62</v>
      </c>
      <c r="J38" s="10">
        <f>J40</f>
        <v>300</v>
      </c>
      <c r="K38" s="20"/>
      <c r="L38" s="20"/>
      <c r="M38" s="9" t="s">
        <v>25</v>
      </c>
      <c r="N38" s="4" t="s">
        <v>62</v>
      </c>
      <c r="O38" s="10">
        <f>O40</f>
        <v>300</v>
      </c>
      <c r="P38" s="20"/>
      <c r="Q38" s="1"/>
      <c r="R38" s="9" t="s">
        <v>25</v>
      </c>
      <c r="S38" s="4" t="s">
        <v>62</v>
      </c>
      <c r="T38" s="10">
        <f>T40</f>
        <v>300</v>
      </c>
    </row>
    <row r="39" spans="1:20" ht="14.25" x14ac:dyDescent="0.15">
      <c r="A39" s="1"/>
      <c r="B39" s="9" t="s">
        <v>26</v>
      </c>
      <c r="C39" s="4" t="s">
        <v>63</v>
      </c>
      <c r="D39" s="10">
        <v>300</v>
      </c>
      <c r="E39" s="1"/>
      <c r="F39" s="1"/>
      <c r="G39" s="1"/>
      <c r="H39" s="9" t="s">
        <v>26</v>
      </c>
      <c r="I39" s="4" t="s">
        <v>63</v>
      </c>
      <c r="J39" s="10">
        <v>300</v>
      </c>
      <c r="K39" s="20"/>
      <c r="L39" s="20"/>
      <c r="M39" s="9" t="s">
        <v>26</v>
      </c>
      <c r="N39" s="4" t="s">
        <v>63</v>
      </c>
      <c r="O39" s="10">
        <v>300</v>
      </c>
      <c r="P39" s="20"/>
      <c r="Q39" s="1"/>
      <c r="R39" s="9" t="s">
        <v>26</v>
      </c>
      <c r="S39" s="4" t="s">
        <v>63</v>
      </c>
      <c r="T39" s="10">
        <v>300</v>
      </c>
    </row>
    <row r="40" spans="1:20" ht="14.25" x14ac:dyDescent="0.15">
      <c r="A40" s="1"/>
      <c r="B40" s="9" t="s">
        <v>61</v>
      </c>
      <c r="C40" s="4" t="s">
        <v>64</v>
      </c>
      <c r="D40" s="10">
        <v>300</v>
      </c>
      <c r="E40" s="1"/>
      <c r="F40" s="1"/>
      <c r="G40" s="1"/>
      <c r="H40" s="9" t="s">
        <v>61</v>
      </c>
      <c r="I40" s="4" t="s">
        <v>64</v>
      </c>
      <c r="J40" s="10">
        <v>300</v>
      </c>
      <c r="K40" s="20"/>
      <c r="L40" s="20"/>
      <c r="M40" s="9" t="s">
        <v>61</v>
      </c>
      <c r="N40" s="4" t="s">
        <v>64</v>
      </c>
      <c r="O40" s="10">
        <v>300</v>
      </c>
      <c r="P40" s="20"/>
      <c r="Q40" s="1"/>
      <c r="R40" s="9" t="s">
        <v>61</v>
      </c>
      <c r="S40" s="4" t="s">
        <v>64</v>
      </c>
      <c r="T40" s="10">
        <v>300</v>
      </c>
    </row>
    <row r="41" spans="1:20" x14ac:dyDescent="0.15">
      <c r="A41" s="1"/>
      <c r="B41" s="9" t="s">
        <v>27</v>
      </c>
      <c r="C41" s="4" t="s">
        <v>66</v>
      </c>
      <c r="D41" s="10">
        <f>D39/D40+1</f>
        <v>2</v>
      </c>
      <c r="E41" s="1"/>
      <c r="F41" s="1"/>
      <c r="G41" s="1"/>
      <c r="H41" s="9" t="s">
        <v>27</v>
      </c>
      <c r="I41" s="4" t="s">
        <v>66</v>
      </c>
      <c r="J41" s="10">
        <f>J39/J40+1</f>
        <v>2</v>
      </c>
      <c r="K41" s="20"/>
      <c r="L41" s="20"/>
      <c r="M41" s="9" t="s">
        <v>27</v>
      </c>
      <c r="N41" s="4" t="s">
        <v>66</v>
      </c>
      <c r="O41" s="10">
        <f>O39/O40+1</f>
        <v>2</v>
      </c>
      <c r="P41" s="20"/>
      <c r="Q41" s="1"/>
      <c r="R41" s="9" t="s">
        <v>27</v>
      </c>
      <c r="S41" s="4" t="s">
        <v>66</v>
      </c>
      <c r="T41" s="10">
        <v>5</v>
      </c>
    </row>
    <row r="42" spans="1:20" x14ac:dyDescent="0.15">
      <c r="A42" s="1"/>
      <c r="B42" s="9"/>
      <c r="C42" s="4" t="s">
        <v>65</v>
      </c>
      <c r="D42" s="10">
        <f>10*LOG(D41)</f>
        <v>3.0102999566398121</v>
      </c>
      <c r="E42" s="1"/>
      <c r="F42" s="1"/>
      <c r="G42" s="1"/>
      <c r="H42" s="9"/>
      <c r="I42" s="4" t="s">
        <v>65</v>
      </c>
      <c r="J42" s="10">
        <f>10*LOG(J41)</f>
        <v>3.0102999566398121</v>
      </c>
      <c r="K42" s="20"/>
      <c r="L42" s="20"/>
      <c r="M42" s="9"/>
      <c r="N42" s="4" t="s">
        <v>65</v>
      </c>
      <c r="O42" s="10">
        <f>10*LOG(O41)</f>
        <v>3.0102999566398121</v>
      </c>
      <c r="P42" s="20"/>
      <c r="Q42" s="1"/>
      <c r="R42" s="9"/>
      <c r="S42" s="4" t="s">
        <v>65</v>
      </c>
      <c r="T42" s="10">
        <f>10*LOG(T41)</f>
        <v>6.9897000433601884</v>
      </c>
    </row>
    <row r="43" spans="1:20" ht="14.25" x14ac:dyDescent="0.15">
      <c r="A43" s="1"/>
      <c r="B43" s="9" t="s">
        <v>28</v>
      </c>
      <c r="C43" s="4" t="s">
        <v>67</v>
      </c>
      <c r="D43" s="10">
        <f>10*LOG(D37/D35+(1-(1/D35))*D38+(D41-1)*D40)</f>
        <v>27.781512503836435</v>
      </c>
      <c r="E43" s="1"/>
      <c r="F43" s="1"/>
      <c r="G43" s="1"/>
      <c r="H43" s="9" t="s">
        <v>28</v>
      </c>
      <c r="I43" s="4" t="s">
        <v>67</v>
      </c>
      <c r="J43" s="10">
        <f>10*LOG(J37/J35+(1-(1/J35))*J38+(J41-1)*J40)</f>
        <v>27.781512503836435</v>
      </c>
      <c r="K43" s="20"/>
      <c r="L43" s="20"/>
      <c r="M43" s="9" t="s">
        <v>28</v>
      </c>
      <c r="N43" s="4" t="s">
        <v>67</v>
      </c>
      <c r="O43" s="10">
        <f>10*LOG(O37/O35+(1-(1/O35))*O38+(O41-1)*O40)</f>
        <v>27.781512503836435</v>
      </c>
      <c r="P43" s="20"/>
      <c r="Q43" s="1"/>
      <c r="R43" s="9" t="s">
        <v>28</v>
      </c>
      <c r="S43" s="4" t="s">
        <v>67</v>
      </c>
      <c r="T43" s="10">
        <f>10*LOG(T37/T35+(1-(1/T35))*T38+(T41-1)*T40)</f>
        <v>31.760912590556813</v>
      </c>
    </row>
    <row r="44" spans="1:20" ht="14.25" x14ac:dyDescent="0.15">
      <c r="A44" s="1"/>
      <c r="B44" s="9" t="s">
        <v>88</v>
      </c>
      <c r="C44" s="4" t="s">
        <v>90</v>
      </c>
      <c r="D44" s="10">
        <v>300</v>
      </c>
      <c r="E44" s="1"/>
      <c r="F44" s="1"/>
      <c r="G44" s="1"/>
      <c r="H44" s="9" t="s">
        <v>88</v>
      </c>
      <c r="I44" s="4" t="s">
        <v>90</v>
      </c>
      <c r="J44" s="10">
        <v>300</v>
      </c>
      <c r="K44" s="20"/>
      <c r="L44" s="20"/>
      <c r="M44" s="9" t="s">
        <v>88</v>
      </c>
      <c r="N44" s="4" t="s">
        <v>90</v>
      </c>
      <c r="O44" s="10">
        <v>300</v>
      </c>
      <c r="P44" s="20"/>
      <c r="Q44" s="1"/>
      <c r="R44" s="9" t="s">
        <v>88</v>
      </c>
      <c r="S44" s="4" t="s">
        <v>90</v>
      </c>
      <c r="T44" s="10">
        <v>300</v>
      </c>
    </row>
    <row r="45" spans="1:20" ht="14.25" x14ac:dyDescent="0.15">
      <c r="A45" s="1"/>
      <c r="B45" s="9" t="s">
        <v>89</v>
      </c>
      <c r="C45" s="4" t="s">
        <v>91</v>
      </c>
      <c r="D45" s="10">
        <f>1.12*D44-50</f>
        <v>286.00000000000006</v>
      </c>
      <c r="E45" s="1"/>
      <c r="F45" s="1"/>
      <c r="G45" s="1"/>
      <c r="H45" s="9" t="s">
        <v>89</v>
      </c>
      <c r="I45" s="4" t="s">
        <v>91</v>
      </c>
      <c r="J45" s="10">
        <f>1.12*J44-50</f>
        <v>286.00000000000006</v>
      </c>
      <c r="K45" s="20"/>
      <c r="L45" s="20"/>
      <c r="M45" s="9" t="s">
        <v>89</v>
      </c>
      <c r="N45" s="4" t="s">
        <v>91</v>
      </c>
      <c r="O45" s="10">
        <f>1.12*O44-50</f>
        <v>286.00000000000006</v>
      </c>
      <c r="P45" s="20"/>
      <c r="Q45" s="1"/>
      <c r="R45" s="9" t="s">
        <v>89</v>
      </c>
      <c r="S45" s="4" t="s">
        <v>91</v>
      </c>
      <c r="T45" s="10">
        <f>1.12*T44-50</f>
        <v>286.00000000000006</v>
      </c>
    </row>
    <row r="46" spans="1:20" ht="14.25" x14ac:dyDescent="0.15">
      <c r="A46" s="1"/>
      <c r="B46" s="9" t="s">
        <v>29</v>
      </c>
      <c r="C46" s="4" t="s">
        <v>68</v>
      </c>
      <c r="D46" s="10">
        <f>D45*(1-10^(-D26/10))</f>
        <v>0</v>
      </c>
      <c r="E46" s="1"/>
      <c r="F46" s="1"/>
      <c r="G46" s="1"/>
      <c r="H46" s="9" t="s">
        <v>29</v>
      </c>
      <c r="I46" s="4" t="s">
        <v>68</v>
      </c>
      <c r="J46" s="10">
        <f>J45*(1-10^(-J26/10))</f>
        <v>0</v>
      </c>
      <c r="K46" s="20"/>
      <c r="L46" s="20"/>
      <c r="M46" s="9" t="s">
        <v>29</v>
      </c>
      <c r="N46" s="4" t="s">
        <v>68</v>
      </c>
      <c r="O46" s="10">
        <f>O45*(1-10^(-O26/10))</f>
        <v>0</v>
      </c>
      <c r="P46" s="20"/>
      <c r="Q46" s="1"/>
      <c r="R46" s="9" t="s">
        <v>29</v>
      </c>
      <c r="S46" s="4" t="s">
        <v>68</v>
      </c>
      <c r="T46" s="10">
        <f>T45*(1-10^(-T26/10))</f>
        <v>0</v>
      </c>
    </row>
    <row r="47" spans="1:20" x14ac:dyDescent="0.15">
      <c r="A47" s="1"/>
      <c r="B47" s="9" t="s">
        <v>69</v>
      </c>
      <c r="C47" s="4" t="s">
        <v>94</v>
      </c>
      <c r="D47" s="10">
        <v>5</v>
      </c>
      <c r="E47" s="1"/>
      <c r="F47" s="1"/>
      <c r="G47" s="1"/>
      <c r="H47" s="9" t="s">
        <v>69</v>
      </c>
      <c r="I47" s="4" t="s">
        <v>94</v>
      </c>
      <c r="J47" s="10">
        <v>5</v>
      </c>
      <c r="K47" s="20"/>
      <c r="L47" s="20"/>
      <c r="M47" s="9" t="s">
        <v>69</v>
      </c>
      <c r="N47" s="4" t="s">
        <v>94</v>
      </c>
      <c r="O47" s="10">
        <v>5</v>
      </c>
      <c r="P47" s="20"/>
      <c r="Q47" s="1"/>
      <c r="R47" s="9" t="s">
        <v>69</v>
      </c>
      <c r="S47" s="4" t="s">
        <v>94</v>
      </c>
      <c r="T47" s="10">
        <v>5</v>
      </c>
    </row>
    <row r="48" spans="1:20" x14ac:dyDescent="0.15">
      <c r="A48" s="1"/>
      <c r="B48" s="9" t="s">
        <v>30</v>
      </c>
      <c r="C48" s="4" t="s">
        <v>96</v>
      </c>
      <c r="D48" s="33">
        <f>D12*D43*D47</f>
        <v>1.9169243627647141E-21</v>
      </c>
      <c r="E48" s="1"/>
      <c r="F48" s="1"/>
      <c r="G48" s="1"/>
      <c r="H48" s="9" t="s">
        <v>30</v>
      </c>
      <c r="I48" s="4" t="s">
        <v>96</v>
      </c>
      <c r="J48" s="17">
        <f>J12*J43*J47</f>
        <v>1.9169243627647141E-21</v>
      </c>
      <c r="K48" s="25"/>
      <c r="L48" s="25"/>
      <c r="M48" s="9" t="s">
        <v>30</v>
      </c>
      <c r="N48" s="4" t="s">
        <v>96</v>
      </c>
      <c r="O48" s="17">
        <f>O12*O43*O47</f>
        <v>1.9169243627647141E-21</v>
      </c>
      <c r="P48" s="25"/>
      <c r="Q48" s="1"/>
      <c r="R48" s="9" t="s">
        <v>30</v>
      </c>
      <c r="S48" s="4" t="s">
        <v>96</v>
      </c>
      <c r="T48" s="17">
        <f>T12*T43*T47</f>
        <v>2.19150296874842E-21</v>
      </c>
    </row>
    <row r="49" spans="1:20" x14ac:dyDescent="0.15">
      <c r="A49" s="1"/>
      <c r="B49" s="9"/>
      <c r="C49" s="4" t="s">
        <v>95</v>
      </c>
      <c r="D49" s="17">
        <f>10*LOG(D48)</f>
        <v>-207.17395023001941</v>
      </c>
      <c r="E49" s="1"/>
      <c r="F49" s="1"/>
      <c r="G49" s="1"/>
      <c r="H49" s="9"/>
      <c r="I49" s="4" t="s">
        <v>95</v>
      </c>
      <c r="J49" s="17">
        <f>10*LOG(J48)</f>
        <v>-207.17395023001941</v>
      </c>
      <c r="K49" s="25"/>
      <c r="L49" s="25"/>
      <c r="M49" s="9"/>
      <c r="N49" s="4" t="s">
        <v>95</v>
      </c>
      <c r="O49" s="17">
        <f>10*LOG(O48)</f>
        <v>-207.17395023001941</v>
      </c>
      <c r="P49" s="25"/>
      <c r="Q49" s="1"/>
      <c r="R49" s="9"/>
      <c r="S49" s="4" t="s">
        <v>95</v>
      </c>
      <c r="T49" s="17">
        <f>10*LOG(T48)</f>
        <v>-206.5925793668687</v>
      </c>
    </row>
    <row r="50" spans="1:20" ht="14.25" x14ac:dyDescent="0.15">
      <c r="A50" s="1"/>
      <c r="B50" s="9" t="s">
        <v>31</v>
      </c>
      <c r="C50" s="4" t="s">
        <v>70</v>
      </c>
      <c r="D50" s="33">
        <f>10*LOG(D12)+D43</f>
        <v>-200.81969663215119</v>
      </c>
      <c r="E50" s="1"/>
      <c r="F50" s="1"/>
      <c r="G50" s="1"/>
      <c r="H50" s="9" t="s">
        <v>31</v>
      </c>
      <c r="I50" s="4" t="s">
        <v>70</v>
      </c>
      <c r="J50" s="17">
        <f>10*LOG(J12)+J43</f>
        <v>-200.81969663215119</v>
      </c>
      <c r="K50" s="25"/>
      <c r="L50" s="25"/>
      <c r="M50" s="9" t="s">
        <v>31</v>
      </c>
      <c r="N50" s="4" t="s">
        <v>70</v>
      </c>
      <c r="O50" s="17">
        <f>10*LOG(O12)+O43</f>
        <v>-200.81969663215119</v>
      </c>
      <c r="P50" s="25"/>
      <c r="Q50" s="1"/>
      <c r="R50" s="9" t="s">
        <v>31</v>
      </c>
      <c r="S50" s="4" t="s">
        <v>70</v>
      </c>
      <c r="T50" s="17">
        <f>10*LOG(T12)+T43</f>
        <v>-196.84029654543082</v>
      </c>
    </row>
    <row r="51" spans="1:20" ht="14.25" thickBot="1" x14ac:dyDescent="0.2">
      <c r="A51" s="1"/>
      <c r="B51" s="13" t="s">
        <v>32</v>
      </c>
      <c r="C51" s="14" t="s">
        <v>97</v>
      </c>
      <c r="D51" s="16">
        <f>D33+D34-D43</f>
        <v>-11.281512503836435</v>
      </c>
      <c r="E51" s="1"/>
      <c r="F51" s="1"/>
      <c r="G51" s="1"/>
      <c r="H51" s="13" t="s">
        <v>32</v>
      </c>
      <c r="I51" s="14" t="s">
        <v>97</v>
      </c>
      <c r="J51" s="16">
        <f>J33+J34-J43</f>
        <v>-11.281512503836435</v>
      </c>
      <c r="K51" s="20"/>
      <c r="L51" s="20"/>
      <c r="M51" s="13" t="s">
        <v>32</v>
      </c>
      <c r="N51" s="14" t="s">
        <v>97</v>
      </c>
      <c r="O51" s="16">
        <f>O33+O34-O43</f>
        <v>-11.281512503836435</v>
      </c>
      <c r="P51" s="20"/>
      <c r="Q51" s="1"/>
      <c r="R51" s="13" t="s">
        <v>32</v>
      </c>
      <c r="S51" s="14" t="s">
        <v>97</v>
      </c>
      <c r="T51" s="16">
        <f>T33+T34-T43</f>
        <v>-33.760912590556813</v>
      </c>
    </row>
    <row r="52" spans="1:20" ht="14.25" thickBo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4.25" x14ac:dyDescent="0.15">
      <c r="A53" s="1"/>
      <c r="B53" s="6" t="s">
        <v>33</v>
      </c>
      <c r="C53" s="7" t="s">
        <v>71</v>
      </c>
      <c r="D53" s="8">
        <v>-6</v>
      </c>
      <c r="E53" s="1"/>
      <c r="F53" s="1"/>
      <c r="G53" s="1"/>
      <c r="H53" s="6" t="s">
        <v>33</v>
      </c>
      <c r="I53" s="7" t="s">
        <v>71</v>
      </c>
      <c r="J53" s="8">
        <v>-6</v>
      </c>
      <c r="K53" s="20"/>
      <c r="L53" s="20"/>
      <c r="M53" s="6" t="s">
        <v>33</v>
      </c>
      <c r="N53" s="7" t="s">
        <v>71</v>
      </c>
      <c r="O53" s="8">
        <v>0</v>
      </c>
      <c r="P53" s="20"/>
      <c r="Q53" s="1"/>
      <c r="R53" s="6" t="s">
        <v>33</v>
      </c>
      <c r="S53" s="7" t="s">
        <v>71</v>
      </c>
      <c r="T53" s="8">
        <v>-6</v>
      </c>
    </row>
    <row r="54" spans="1:20" ht="14.25" x14ac:dyDescent="0.15">
      <c r="A54" s="1"/>
      <c r="B54" s="9" t="s">
        <v>111</v>
      </c>
      <c r="C54" s="4" t="s">
        <v>112</v>
      </c>
      <c r="D54" s="10">
        <v>-1</v>
      </c>
      <c r="E54" s="1"/>
      <c r="F54" s="1"/>
      <c r="G54" s="1"/>
      <c r="H54" s="9" t="s">
        <v>111</v>
      </c>
      <c r="I54" s="4" t="s">
        <v>112</v>
      </c>
      <c r="J54" s="10">
        <v>-1</v>
      </c>
      <c r="K54" s="20"/>
      <c r="L54" s="20"/>
      <c r="M54" s="9" t="s">
        <v>111</v>
      </c>
      <c r="N54" s="4" t="s">
        <v>112</v>
      </c>
      <c r="O54" s="10">
        <v>-1</v>
      </c>
      <c r="P54" s="20"/>
      <c r="Q54" s="1"/>
      <c r="R54" s="9" t="s">
        <v>111</v>
      </c>
      <c r="S54" s="4" t="s">
        <v>112</v>
      </c>
      <c r="T54" s="10">
        <v>-1</v>
      </c>
    </row>
    <row r="55" spans="1:20" ht="14.25" x14ac:dyDescent="0.15">
      <c r="A55" s="1"/>
      <c r="B55" s="27" t="s">
        <v>113</v>
      </c>
      <c r="C55" s="28" t="s">
        <v>114</v>
      </c>
      <c r="D55" s="29">
        <f>D53+D54</f>
        <v>-7</v>
      </c>
      <c r="E55" s="1"/>
      <c r="F55" s="1"/>
      <c r="G55" s="1"/>
      <c r="H55" s="27" t="s">
        <v>113</v>
      </c>
      <c r="I55" s="28" t="s">
        <v>114</v>
      </c>
      <c r="J55" s="29">
        <f>J53+J54</f>
        <v>-7</v>
      </c>
      <c r="K55" s="26"/>
      <c r="L55" s="26"/>
      <c r="M55" s="27" t="s">
        <v>113</v>
      </c>
      <c r="N55" s="28" t="s">
        <v>114</v>
      </c>
      <c r="O55" s="29">
        <f>O53+O54</f>
        <v>-1</v>
      </c>
      <c r="P55" s="26"/>
      <c r="Q55" s="1"/>
      <c r="R55" s="27" t="s">
        <v>113</v>
      </c>
      <c r="S55" s="28" t="s">
        <v>114</v>
      </c>
      <c r="T55" s="29">
        <f>T53+T54</f>
        <v>-7</v>
      </c>
    </row>
    <row r="56" spans="1:20" ht="14.25" x14ac:dyDescent="0.15">
      <c r="A56" s="1"/>
      <c r="B56" s="18" t="s">
        <v>34</v>
      </c>
      <c r="C56" s="5" t="s">
        <v>72</v>
      </c>
      <c r="D56" s="19">
        <v>1200</v>
      </c>
      <c r="E56" s="1"/>
      <c r="F56" s="1"/>
      <c r="G56" s="1"/>
      <c r="H56" s="18" t="s">
        <v>34</v>
      </c>
      <c r="I56" s="5" t="s">
        <v>72</v>
      </c>
      <c r="J56" s="19">
        <v>9600</v>
      </c>
      <c r="K56" s="26"/>
      <c r="L56" s="26"/>
      <c r="M56" s="18" t="s">
        <v>34</v>
      </c>
      <c r="N56" s="5" t="s">
        <v>72</v>
      </c>
      <c r="O56" s="19">
        <v>1200</v>
      </c>
      <c r="P56" s="26"/>
      <c r="Q56" s="1"/>
      <c r="R56" s="18" t="s">
        <v>34</v>
      </c>
      <c r="S56" s="5" t="s">
        <v>72</v>
      </c>
      <c r="T56" s="19">
        <v>1200</v>
      </c>
    </row>
    <row r="57" spans="1:20" ht="14.25" x14ac:dyDescent="0.15">
      <c r="A57" s="1"/>
      <c r="B57" s="18"/>
      <c r="C57" s="5" t="s">
        <v>73</v>
      </c>
      <c r="D57" s="19">
        <f>10*LOG(D56)</f>
        <v>30.791812460476248</v>
      </c>
      <c r="E57" s="1"/>
      <c r="F57" s="1"/>
      <c r="G57" s="1"/>
      <c r="H57" s="18"/>
      <c r="I57" s="5" t="s">
        <v>73</v>
      </c>
      <c r="J57" s="19">
        <f>10*LOG(J56)</f>
        <v>39.822712330395682</v>
      </c>
      <c r="K57" s="26"/>
      <c r="L57" s="26"/>
      <c r="M57" s="18"/>
      <c r="N57" s="5" t="s">
        <v>73</v>
      </c>
      <c r="O57" s="19">
        <f>10*LOG(O56)</f>
        <v>30.791812460476248</v>
      </c>
      <c r="P57" s="26"/>
      <c r="Q57" s="1"/>
      <c r="R57" s="18"/>
      <c r="S57" s="5" t="s">
        <v>73</v>
      </c>
      <c r="T57" s="19">
        <f>10*LOG(T56)</f>
        <v>30.791812460476248</v>
      </c>
    </row>
    <row r="58" spans="1:20" ht="14.25" x14ac:dyDescent="0.15">
      <c r="A58" s="1"/>
      <c r="B58" s="9" t="s">
        <v>99</v>
      </c>
      <c r="C58" s="4" t="s">
        <v>100</v>
      </c>
      <c r="D58" s="10">
        <f>10^-6</f>
        <v>9.9999999999999995E-7</v>
      </c>
      <c r="E58" s="1"/>
      <c r="F58" s="1"/>
      <c r="G58" s="1"/>
      <c r="H58" s="9" t="s">
        <v>99</v>
      </c>
      <c r="I58" s="4" t="s">
        <v>100</v>
      </c>
      <c r="J58" s="10">
        <f>10^-6</f>
        <v>9.9999999999999995E-7</v>
      </c>
      <c r="K58" s="26"/>
      <c r="L58" s="26"/>
      <c r="M58" s="9" t="s">
        <v>99</v>
      </c>
      <c r="N58" s="4" t="s">
        <v>100</v>
      </c>
      <c r="O58" s="10">
        <f>10^-6</f>
        <v>9.9999999999999995E-7</v>
      </c>
      <c r="P58" s="26"/>
      <c r="Q58" s="1"/>
      <c r="R58" s="9" t="s">
        <v>99</v>
      </c>
      <c r="S58" s="4" t="s">
        <v>100</v>
      </c>
      <c r="T58" s="10">
        <f>10^-6</f>
        <v>9.9999999999999995E-7</v>
      </c>
    </row>
    <row r="59" spans="1:20" ht="14.25" x14ac:dyDescent="0.15">
      <c r="A59" s="1"/>
      <c r="B59" s="9" t="s">
        <v>35</v>
      </c>
      <c r="C59" s="4" t="s">
        <v>74</v>
      </c>
      <c r="D59" s="10">
        <f>D36-D50</f>
        <v>53.15536599219638</v>
      </c>
      <c r="E59" s="1"/>
      <c r="F59" s="1"/>
      <c r="G59" s="1"/>
      <c r="H59" s="9" t="s">
        <v>35</v>
      </c>
      <c r="I59" s="4" t="s">
        <v>74</v>
      </c>
      <c r="J59" s="10">
        <f>J36-J50</f>
        <v>60.145066035556567</v>
      </c>
      <c r="K59" s="26"/>
      <c r="L59" s="26"/>
      <c r="M59" s="9" t="s">
        <v>35</v>
      </c>
      <c r="N59" s="4" t="s">
        <v>74</v>
      </c>
      <c r="O59" s="10">
        <f>O36-O50</f>
        <v>47.926578539393006</v>
      </c>
      <c r="P59" s="26"/>
      <c r="Q59" s="1"/>
      <c r="R59" s="9" t="s">
        <v>35</v>
      </c>
      <c r="S59" s="4" t="s">
        <v>74</v>
      </c>
      <c r="T59" s="10">
        <f>T36-T50</f>
        <v>76.214718759850115</v>
      </c>
    </row>
    <row r="60" spans="1:20" ht="14.25" x14ac:dyDescent="0.15">
      <c r="A60" s="1"/>
      <c r="B60" s="9" t="s">
        <v>37</v>
      </c>
      <c r="C60" s="4" t="s">
        <v>101</v>
      </c>
      <c r="D60" s="10">
        <v>10.5</v>
      </c>
      <c r="E60" s="1"/>
      <c r="F60" s="1"/>
      <c r="G60" s="1"/>
      <c r="H60" s="9" t="s">
        <v>37</v>
      </c>
      <c r="I60" s="4" t="s">
        <v>101</v>
      </c>
      <c r="J60" s="10">
        <v>10.5</v>
      </c>
      <c r="K60" s="26"/>
      <c r="L60" s="26"/>
      <c r="M60" s="9" t="s">
        <v>37</v>
      </c>
      <c r="N60" s="4" t="s">
        <v>101</v>
      </c>
      <c r="O60" s="10">
        <v>10.5</v>
      </c>
      <c r="P60" s="26"/>
      <c r="Q60" s="1"/>
      <c r="R60" s="9" t="s">
        <v>37</v>
      </c>
      <c r="S60" s="4" t="s">
        <v>101</v>
      </c>
      <c r="T60" s="10">
        <v>10.5</v>
      </c>
    </row>
    <row r="61" spans="1:20" ht="14.25" x14ac:dyDescent="0.15">
      <c r="A61" s="1"/>
      <c r="B61" s="9" t="s">
        <v>36</v>
      </c>
      <c r="C61" s="4" t="s">
        <v>75</v>
      </c>
      <c r="D61" s="10">
        <f>D60-D54-D53+D57</f>
        <v>48.291812460476251</v>
      </c>
      <c r="E61" s="1"/>
      <c r="F61" s="1"/>
      <c r="G61" s="1"/>
      <c r="H61" s="9" t="s">
        <v>36</v>
      </c>
      <c r="I61" s="4" t="s">
        <v>75</v>
      </c>
      <c r="J61" s="10">
        <f>J60-J54-J53+J57</f>
        <v>57.322712330395682</v>
      </c>
      <c r="K61" s="20"/>
      <c r="L61" s="20"/>
      <c r="M61" s="9" t="s">
        <v>36</v>
      </c>
      <c r="N61" s="4" t="s">
        <v>75</v>
      </c>
      <c r="O61" s="10">
        <f>O60-O54-O53+O57</f>
        <v>42.291812460476251</v>
      </c>
      <c r="P61" s="20"/>
      <c r="Q61" s="1"/>
      <c r="R61" s="9" t="s">
        <v>36</v>
      </c>
      <c r="S61" s="4" t="s">
        <v>75</v>
      </c>
      <c r="T61" s="10">
        <f>T60-T54-T53+T57</f>
        <v>48.291812460476251</v>
      </c>
    </row>
    <row r="62" spans="1:20" ht="14.25" thickBot="1" x14ac:dyDescent="0.2">
      <c r="A62" s="1"/>
      <c r="B62" s="30" t="s">
        <v>102</v>
      </c>
      <c r="C62" s="31" t="s">
        <v>103</v>
      </c>
      <c r="D62" s="32">
        <f>D59-D61</f>
        <v>4.8635535317201288</v>
      </c>
      <c r="E62" s="1"/>
      <c r="F62" s="1"/>
      <c r="G62" s="1"/>
      <c r="H62" s="30" t="s">
        <v>102</v>
      </c>
      <c r="I62" s="31" t="s">
        <v>103</v>
      </c>
      <c r="J62" s="32">
        <f>J59-J61</f>
        <v>2.8223537051608858</v>
      </c>
      <c r="K62" s="20"/>
      <c r="L62" s="20"/>
      <c r="M62" s="30" t="s">
        <v>102</v>
      </c>
      <c r="N62" s="31" t="s">
        <v>103</v>
      </c>
      <c r="O62" s="32">
        <f>O59-O61</f>
        <v>5.6347660789167549</v>
      </c>
      <c r="P62" s="20"/>
      <c r="Q62" s="1"/>
      <c r="R62" s="30" t="s">
        <v>102</v>
      </c>
      <c r="S62" s="31" t="s">
        <v>103</v>
      </c>
      <c r="T62" s="32">
        <f>T59-T61</f>
        <v>27.922906299373864</v>
      </c>
    </row>
    <row r="63" spans="1:20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</sheetData>
  <mergeCells count="12">
    <mergeCell ref="B14:D14"/>
    <mergeCell ref="H14:J14"/>
    <mergeCell ref="M14:O14"/>
    <mergeCell ref="R14:T14"/>
    <mergeCell ref="B31:D31"/>
    <mergeCell ref="H31:J31"/>
    <mergeCell ref="M31:O31"/>
    <mergeCell ref="R31:T31"/>
    <mergeCell ref="B23:D23"/>
    <mergeCell ref="H23:J23"/>
    <mergeCell ref="M23:O23"/>
    <mergeCell ref="R23:T23"/>
  </mergeCells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ミッション用無線機</vt:lpstr>
      <vt:lpstr>400km</vt:lpstr>
      <vt:lpstr>アマチュア無線サービス用無線機</vt:lpstr>
      <vt:lpstr>Communication Dessign</vt:lpstr>
      <vt:lpstr>SEEDS</vt:lpstr>
      <vt:lpstr>Sheet3</vt:lpstr>
      <vt:lpstr>アマチュア無線サービス用無線機!Print_Area</vt:lpstr>
      <vt:lpstr>ミッション用無線機!Print_Area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 Araki</dc:creator>
  <cp:lastModifiedBy>鈴木智大</cp:lastModifiedBy>
  <cp:lastPrinted>2006-10-03T10:02:22Z</cp:lastPrinted>
  <dcterms:created xsi:type="dcterms:W3CDTF">2006-04-29T05:53:31Z</dcterms:created>
  <dcterms:modified xsi:type="dcterms:W3CDTF">2016-06-29T09:05:31Z</dcterms:modified>
</cp:coreProperties>
</file>